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на 01.12.2024" sheetId="24" r:id="rId1"/>
    <sheet name="на 01.11.2024 " sheetId="23" r:id="rId2"/>
    <sheet name="на 01.10.2024" sheetId="22" r:id="rId3"/>
    <sheet name="на 01.09.2024  (замена)" sheetId="21" r:id="rId4"/>
    <sheet name="на 01.09.2024 " sheetId="20" r:id="rId5"/>
    <sheet name="на 01.08.2024" sheetId="19" r:id="rId6"/>
    <sheet name="на 01.07.2024" sheetId="17" r:id="rId7"/>
    <sheet name="на 01.06.2024" sheetId="16" r:id="rId8"/>
    <sheet name="на 01.05.2024" sheetId="11" r:id="rId9"/>
    <sheet name="за 1 квартал" sheetId="12" r:id="rId10"/>
    <sheet name="май 2024" sheetId="14" r:id="rId11"/>
  </sheets>
  <definedNames>
    <definedName name="_xlnm.Print_Titles" localSheetId="10">'май 2024'!$6:$8</definedName>
    <definedName name="_xlnm.Print_Titles" localSheetId="8">'на 01.05.2024'!$6:$8</definedName>
    <definedName name="_xlnm.Print_Titles" localSheetId="7">'на 01.06.2024'!$6:$8</definedName>
    <definedName name="_xlnm.Print_Titles" localSheetId="6">'на 01.07.2024'!$6:$8</definedName>
    <definedName name="_xlnm.Print_Titles" localSheetId="5">'на 01.08.2024'!$6:$8</definedName>
    <definedName name="_xlnm.Print_Titles" localSheetId="4">'на 01.09.2024 '!$6:$8</definedName>
    <definedName name="_xlnm.Print_Titles" localSheetId="3">'на 01.09.2024  (замена)'!$6:$8</definedName>
    <definedName name="_xlnm.Print_Titles" localSheetId="2">'на 01.10.2024'!$6:$8</definedName>
    <definedName name="_xlnm.Print_Titles" localSheetId="1">'на 01.11.2024 '!$6:$8</definedName>
    <definedName name="_xlnm.Print_Titles" localSheetId="0">'на 01.12.2024'!$6:$8</definedName>
    <definedName name="_xlnm.Print_Area" localSheetId="10">'май 2024'!$A$1:$F$50</definedName>
    <definedName name="_xlnm.Print_Area" localSheetId="8">'на 01.05.2024'!$A$1:$F$51</definedName>
    <definedName name="_xlnm.Print_Area" localSheetId="7">'на 01.06.2024'!$A$1:$F$50</definedName>
    <definedName name="_xlnm.Print_Area" localSheetId="6">'на 01.07.2024'!$A$1:$F$52</definedName>
    <definedName name="_xlnm.Print_Area" localSheetId="5">'на 01.08.2024'!$A$1:$F$52</definedName>
    <definedName name="_xlnm.Print_Area" localSheetId="4">'на 01.09.2024 '!$A$1:$F$52</definedName>
    <definedName name="_xlnm.Print_Area" localSheetId="3">'на 01.09.2024  (замена)'!$A$1:$F$52</definedName>
    <definedName name="_xlnm.Print_Area" localSheetId="2">'на 01.10.2024'!$A$1:$F$52</definedName>
    <definedName name="_xlnm.Print_Area" localSheetId="1">'на 01.11.2024 '!$A$1:$F$52</definedName>
    <definedName name="_xlnm.Print_Area" localSheetId="0">'на 01.12.2024'!$A$1:$F$52</definedName>
  </definedNames>
  <calcPr calcId="125725"/>
</workbook>
</file>

<file path=xl/calcChain.xml><?xml version="1.0" encoding="utf-8"?>
<calcChain xmlns="http://schemas.openxmlformats.org/spreadsheetml/2006/main">
  <c r="E12" i="24"/>
  <c r="C49"/>
  <c r="B49"/>
  <c r="C46"/>
  <c r="C45"/>
  <c r="C43"/>
  <c r="C41"/>
  <c r="B46"/>
  <c r="B45"/>
  <c r="B43"/>
  <c r="B41"/>
  <c r="C37"/>
  <c r="C36"/>
  <c r="C35"/>
  <c r="B37"/>
  <c r="B36"/>
  <c r="B35"/>
  <c r="C32"/>
  <c r="B32"/>
  <c r="B31"/>
  <c r="C30"/>
  <c r="B28"/>
  <c r="C28"/>
  <c r="C27"/>
  <c r="B27"/>
  <c r="C25"/>
  <c r="B25"/>
  <c r="C22"/>
  <c r="C19"/>
  <c r="C18"/>
  <c r="C17"/>
  <c r="C16"/>
  <c r="C15"/>
  <c r="C14"/>
  <c r="C13"/>
  <c r="C12"/>
  <c r="B19"/>
  <c r="B18"/>
  <c r="B17"/>
  <c r="B16"/>
  <c r="B15"/>
  <c r="B13"/>
  <c r="B12"/>
  <c r="E18" l="1"/>
  <c r="D18"/>
  <c r="E22"/>
  <c r="E28" l="1"/>
  <c r="D28"/>
  <c r="E42" l="1"/>
  <c r="D42"/>
  <c r="E45" l="1"/>
  <c r="D45"/>
  <c r="E46"/>
  <c r="D46"/>
  <c r="E15" l="1"/>
  <c r="D15"/>
  <c r="E49"/>
  <c r="D49"/>
  <c r="E44"/>
  <c r="D44"/>
  <c r="E43"/>
  <c r="D43"/>
  <c r="E41"/>
  <c r="D41"/>
  <c r="E37" l="1"/>
  <c r="D37"/>
  <c r="E36"/>
  <c r="D36"/>
  <c r="E35"/>
  <c r="D35"/>
  <c r="E32"/>
  <c r="D32"/>
  <c r="E30" l="1"/>
  <c r="E27" l="1"/>
  <c r="D27"/>
  <c r="E25"/>
  <c r="D25"/>
  <c r="E19"/>
  <c r="D19"/>
  <c r="E17"/>
  <c r="D17"/>
  <c r="E16"/>
  <c r="D16"/>
  <c r="E14" l="1"/>
  <c r="E13"/>
  <c r="D13"/>
  <c r="D12"/>
  <c r="E50"/>
  <c r="C50"/>
  <c r="F49"/>
  <c r="F50" s="1"/>
  <c r="B50"/>
  <c r="F46"/>
  <c r="F45"/>
  <c r="F44"/>
  <c r="C44"/>
  <c r="C47" s="1"/>
  <c r="B44"/>
  <c r="F43"/>
  <c r="F42"/>
  <c r="C42"/>
  <c r="B42"/>
  <c r="E47"/>
  <c r="D47"/>
  <c r="B47"/>
  <c r="C38"/>
  <c r="F37"/>
  <c r="B38"/>
  <c r="F36"/>
  <c r="F35"/>
  <c r="E38"/>
  <c r="D38"/>
  <c r="E33"/>
  <c r="D33"/>
  <c r="F32"/>
  <c r="F31"/>
  <c r="C31"/>
  <c r="F30"/>
  <c r="F29"/>
  <c r="C29"/>
  <c r="B29"/>
  <c r="F28"/>
  <c r="F27"/>
  <c r="B33"/>
  <c r="F26"/>
  <c r="F25"/>
  <c r="C33"/>
  <c r="F24"/>
  <c r="F23"/>
  <c r="F22"/>
  <c r="F19"/>
  <c r="F18"/>
  <c r="F17"/>
  <c r="F16"/>
  <c r="F15"/>
  <c r="E20"/>
  <c r="B14"/>
  <c r="F13"/>
  <c r="C20"/>
  <c r="F12"/>
  <c r="B20"/>
  <c r="B39" l="1"/>
  <c r="B51" s="1"/>
  <c r="E39"/>
  <c r="E51" s="1"/>
  <c r="F33"/>
  <c r="F38"/>
  <c r="C39"/>
  <c r="C51" s="1"/>
  <c r="F14"/>
  <c r="F20" s="1"/>
  <c r="F41"/>
  <c r="F47" s="1"/>
  <c r="D50"/>
  <c r="D20"/>
  <c r="D39" s="1"/>
  <c r="D42" i="23"/>
  <c r="E15"/>
  <c r="D15"/>
  <c r="C15"/>
  <c r="B15"/>
  <c r="C42"/>
  <c r="E42"/>
  <c r="E18"/>
  <c r="D18"/>
  <c r="C18"/>
  <c r="B18"/>
  <c r="B42"/>
  <c r="C49"/>
  <c r="B49"/>
  <c r="C46"/>
  <c r="B46"/>
  <c r="C45"/>
  <c r="B45"/>
  <c r="C44"/>
  <c r="B44"/>
  <c r="C41"/>
  <c r="B41"/>
  <c r="C37"/>
  <c r="B37"/>
  <c r="C36"/>
  <c r="B36"/>
  <c r="C35"/>
  <c r="B35"/>
  <c r="F39" i="24" l="1"/>
  <c r="F51" s="1"/>
  <c r="D51"/>
  <c r="C30" i="23"/>
  <c r="C28"/>
  <c r="B28"/>
  <c r="C27"/>
  <c r="B27"/>
  <c r="C25"/>
  <c r="C22"/>
  <c r="C19"/>
  <c r="B19"/>
  <c r="C17"/>
  <c r="C14"/>
  <c r="C13"/>
  <c r="B13"/>
  <c r="C12"/>
  <c r="B12"/>
  <c r="E49"/>
  <c r="D49"/>
  <c r="E45"/>
  <c r="D45"/>
  <c r="E46"/>
  <c r="D46"/>
  <c r="E44"/>
  <c r="D44"/>
  <c r="E43"/>
  <c r="D43"/>
  <c r="E41"/>
  <c r="D41"/>
  <c r="E37" l="1"/>
  <c r="D37"/>
  <c r="E36"/>
  <c r="D36"/>
  <c r="E35"/>
  <c r="D35"/>
  <c r="E32"/>
  <c r="E30"/>
  <c r="E28"/>
  <c r="D28"/>
  <c r="E27"/>
  <c r="F27" s="1"/>
  <c r="D27"/>
  <c r="E25"/>
  <c r="E23"/>
  <c r="D23"/>
  <c r="E22"/>
  <c r="F22" s="1"/>
  <c r="E19"/>
  <c r="D19"/>
  <c r="E17"/>
  <c r="E16"/>
  <c r="E14"/>
  <c r="E13"/>
  <c r="D13"/>
  <c r="E12"/>
  <c r="D12"/>
  <c r="E50"/>
  <c r="D50"/>
  <c r="C50"/>
  <c r="B50"/>
  <c r="F49"/>
  <c r="F50" s="1"/>
  <c r="E47"/>
  <c r="D47"/>
  <c r="C47"/>
  <c r="B47"/>
  <c r="F46"/>
  <c r="F45"/>
  <c r="F44"/>
  <c r="F43"/>
  <c r="F42"/>
  <c r="F41"/>
  <c r="E38"/>
  <c r="D38"/>
  <c r="C38"/>
  <c r="B38"/>
  <c r="F37"/>
  <c r="F36"/>
  <c r="F35"/>
  <c r="D33"/>
  <c r="F32"/>
  <c r="F31"/>
  <c r="C31"/>
  <c r="B31"/>
  <c r="F30"/>
  <c r="F29"/>
  <c r="C29"/>
  <c r="B29"/>
  <c r="F28"/>
  <c r="B33"/>
  <c r="F26"/>
  <c r="F25"/>
  <c r="C33"/>
  <c r="F24"/>
  <c r="F23"/>
  <c r="E20"/>
  <c r="F19"/>
  <c r="F18"/>
  <c r="F17"/>
  <c r="D17"/>
  <c r="B17"/>
  <c r="F16"/>
  <c r="C16"/>
  <c r="B16"/>
  <c r="F15"/>
  <c r="F14"/>
  <c r="B14"/>
  <c r="F13"/>
  <c r="C20"/>
  <c r="B20"/>
  <c r="F12"/>
  <c r="D13" i="22"/>
  <c r="B17"/>
  <c r="B20" s="1"/>
  <c r="D17"/>
  <c r="E50"/>
  <c r="D50"/>
  <c r="B50"/>
  <c r="F49"/>
  <c r="F50" s="1"/>
  <c r="C50"/>
  <c r="F46"/>
  <c r="B46"/>
  <c r="F45"/>
  <c r="F44"/>
  <c r="F43"/>
  <c r="F42"/>
  <c r="F41"/>
  <c r="E47"/>
  <c r="D47"/>
  <c r="C47"/>
  <c r="B47"/>
  <c r="D38"/>
  <c r="F37"/>
  <c r="F36"/>
  <c r="F35"/>
  <c r="E38"/>
  <c r="C38"/>
  <c r="B35"/>
  <c r="B38" s="1"/>
  <c r="F32"/>
  <c r="F31"/>
  <c r="C31"/>
  <c r="B31"/>
  <c r="F30"/>
  <c r="C30"/>
  <c r="F29"/>
  <c r="C29"/>
  <c r="B29"/>
  <c r="F28"/>
  <c r="C28"/>
  <c r="B28"/>
  <c r="F27"/>
  <c r="F26"/>
  <c r="F25"/>
  <c r="C25"/>
  <c r="F24"/>
  <c r="F23"/>
  <c r="E33"/>
  <c r="D33"/>
  <c r="C33"/>
  <c r="B33"/>
  <c r="F19"/>
  <c r="F18"/>
  <c r="F17"/>
  <c r="C17"/>
  <c r="F16"/>
  <c r="C16"/>
  <c r="B16"/>
  <c r="F15"/>
  <c r="F14"/>
  <c r="B14"/>
  <c r="F13"/>
  <c r="C13"/>
  <c r="B13"/>
  <c r="D20"/>
  <c r="C20"/>
  <c r="F41" i="21"/>
  <c r="E41"/>
  <c r="D41"/>
  <c r="C41"/>
  <c r="B41"/>
  <c r="C39" i="23" l="1"/>
  <c r="C51" s="1"/>
  <c r="F47"/>
  <c r="F38"/>
  <c r="F33"/>
  <c r="E33"/>
  <c r="E39" s="1"/>
  <c r="E51" s="1"/>
  <c r="F20"/>
  <c r="B39"/>
  <c r="B51" s="1"/>
  <c r="D20"/>
  <c r="D39" s="1"/>
  <c r="D51" s="1"/>
  <c r="C39" i="22"/>
  <c r="C51" s="1"/>
  <c r="D39"/>
  <c r="D51" s="1"/>
  <c r="B39"/>
  <c r="B51" s="1"/>
  <c r="F38"/>
  <c r="F47"/>
  <c r="E20"/>
  <c r="E39" s="1"/>
  <c r="E51" s="1"/>
  <c r="F22"/>
  <c r="F33" s="1"/>
  <c r="F12"/>
  <c r="F20" s="1"/>
  <c r="F50" i="21"/>
  <c r="E50"/>
  <c r="D50"/>
  <c r="B50"/>
  <c r="F49"/>
  <c r="E49"/>
  <c r="D49"/>
  <c r="C49"/>
  <c r="C50" s="1"/>
  <c r="B49"/>
  <c r="E46"/>
  <c r="F46" s="1"/>
  <c r="D46"/>
  <c r="C46"/>
  <c r="B46"/>
  <c r="F45"/>
  <c r="E45"/>
  <c r="D45"/>
  <c r="C45"/>
  <c r="B45"/>
  <c r="F44"/>
  <c r="E44"/>
  <c r="D44"/>
  <c r="C44"/>
  <c r="B44"/>
  <c r="E43"/>
  <c r="D43"/>
  <c r="F43" s="1"/>
  <c r="C43"/>
  <c r="C47" s="1"/>
  <c r="B43"/>
  <c r="E42"/>
  <c r="F42" s="1"/>
  <c r="D42"/>
  <c r="C42"/>
  <c r="B42"/>
  <c r="E47"/>
  <c r="B47"/>
  <c r="D38"/>
  <c r="E37"/>
  <c r="F37" s="1"/>
  <c r="D37"/>
  <c r="C37"/>
  <c r="B37"/>
  <c r="F36"/>
  <c r="E36"/>
  <c r="D36"/>
  <c r="C36"/>
  <c r="B36"/>
  <c r="F35"/>
  <c r="E35"/>
  <c r="E38" s="1"/>
  <c r="D35"/>
  <c r="C35"/>
  <c r="C38" s="1"/>
  <c r="B35"/>
  <c r="B38" s="1"/>
  <c r="D33"/>
  <c r="D32"/>
  <c r="F32" s="1"/>
  <c r="F31"/>
  <c r="E31"/>
  <c r="D31"/>
  <c r="C31"/>
  <c r="B31"/>
  <c r="E30"/>
  <c r="D30"/>
  <c r="F30" s="1"/>
  <c r="C30"/>
  <c r="B30"/>
  <c r="E29"/>
  <c r="F29" s="1"/>
  <c r="D29"/>
  <c r="C29"/>
  <c r="B29"/>
  <c r="F28"/>
  <c r="E28"/>
  <c r="D28"/>
  <c r="C28"/>
  <c r="B28"/>
  <c r="F27"/>
  <c r="E27"/>
  <c r="D27"/>
  <c r="C27"/>
  <c r="C33" s="1"/>
  <c r="B27"/>
  <c r="F26"/>
  <c r="D26"/>
  <c r="F25"/>
  <c r="E25"/>
  <c r="D25"/>
  <c r="C25"/>
  <c r="B25"/>
  <c r="B33" s="1"/>
  <c r="F24"/>
  <c r="E24"/>
  <c r="D24"/>
  <c r="F23"/>
  <c r="E23"/>
  <c r="D23"/>
  <c r="E22"/>
  <c r="E33" s="1"/>
  <c r="D22"/>
  <c r="C22"/>
  <c r="B22"/>
  <c r="F19"/>
  <c r="E19"/>
  <c r="D19"/>
  <c r="F18"/>
  <c r="E18"/>
  <c r="D18"/>
  <c r="C18"/>
  <c r="B18"/>
  <c r="F17"/>
  <c r="E17"/>
  <c r="D17"/>
  <c r="C17"/>
  <c r="B17"/>
  <c r="E16"/>
  <c r="D16"/>
  <c r="F16" s="1"/>
  <c r="C16"/>
  <c r="B16"/>
  <c r="E15"/>
  <c r="F15" s="1"/>
  <c r="D15"/>
  <c r="C15"/>
  <c r="B15"/>
  <c r="F14"/>
  <c r="E14"/>
  <c r="E20" s="1"/>
  <c r="D14"/>
  <c r="C14"/>
  <c r="B14"/>
  <c r="B20" s="1"/>
  <c r="B39" s="1"/>
  <c r="B51" s="1"/>
  <c r="F13"/>
  <c r="E13"/>
  <c r="D13"/>
  <c r="C13"/>
  <c r="B13"/>
  <c r="E12"/>
  <c r="D12"/>
  <c r="D20" s="1"/>
  <c r="D39" s="1"/>
  <c r="C12"/>
  <c r="C20" s="1"/>
  <c r="B12"/>
  <c r="D24" i="20"/>
  <c r="E24"/>
  <c r="E42"/>
  <c r="F39" i="23" l="1"/>
  <c r="F51" s="1"/>
  <c r="F39" i="22"/>
  <c r="F51" s="1"/>
  <c r="C39" i="21"/>
  <c r="C51" s="1"/>
  <c r="F38"/>
  <c r="E39"/>
  <c r="E51" s="1"/>
  <c r="F47"/>
  <c r="F51" s="1"/>
  <c r="D47"/>
  <c r="D51" s="1"/>
  <c r="F12"/>
  <c r="F20" s="1"/>
  <c r="F39" s="1"/>
  <c r="F22"/>
  <c r="F33" s="1"/>
  <c r="F23" i="20"/>
  <c r="E23"/>
  <c r="D23"/>
  <c r="F24" i="12" l="1"/>
  <c r="E28" i="20" l="1"/>
  <c r="D28"/>
  <c r="C28"/>
  <c r="B28"/>
  <c r="E49"/>
  <c r="E50"/>
  <c r="D49"/>
  <c r="C49"/>
  <c r="B49"/>
  <c r="E37"/>
  <c r="D37"/>
  <c r="C37"/>
  <c r="B37"/>
  <c r="E18" l="1"/>
  <c r="D18"/>
  <c r="C18"/>
  <c r="B18"/>
  <c r="E35"/>
  <c r="D35"/>
  <c r="C35"/>
  <c r="B35"/>
  <c r="E44" l="1"/>
  <c r="D44"/>
  <c r="C44"/>
  <c r="B44"/>
  <c r="E15"/>
  <c r="D15"/>
  <c r="C15"/>
  <c r="B15"/>
  <c r="E43" l="1"/>
  <c r="D43"/>
  <c r="C43"/>
  <c r="B43"/>
  <c r="D42"/>
  <c r="C42"/>
  <c r="B42"/>
  <c r="E36"/>
  <c r="D36"/>
  <c r="C36"/>
  <c r="B36"/>
  <c r="E31" l="1"/>
  <c r="D31"/>
  <c r="C31"/>
  <c r="B31"/>
  <c r="E29"/>
  <c r="D29"/>
  <c r="C29"/>
  <c r="B29"/>
  <c r="E27"/>
  <c r="D27"/>
  <c r="C27"/>
  <c r="B27"/>
  <c r="E41" l="1"/>
  <c r="D41"/>
  <c r="C41"/>
  <c r="B41"/>
  <c r="E22" l="1"/>
  <c r="D22"/>
  <c r="C22"/>
  <c r="B22"/>
  <c r="E13"/>
  <c r="D13"/>
  <c r="C13"/>
  <c r="B13"/>
  <c r="E25"/>
  <c r="D25"/>
  <c r="C25"/>
  <c r="B25"/>
  <c r="E12"/>
  <c r="D12"/>
  <c r="C12"/>
  <c r="B12"/>
  <c r="E16" l="1"/>
  <c r="D16"/>
  <c r="C16"/>
  <c r="B16"/>
  <c r="E30"/>
  <c r="D30"/>
  <c r="C30"/>
  <c r="B30"/>
  <c r="E19"/>
  <c r="D19"/>
  <c r="E14" l="1"/>
  <c r="D14"/>
  <c r="C14"/>
  <c r="B14"/>
  <c r="E17"/>
  <c r="D17"/>
  <c r="C17"/>
  <c r="B17"/>
  <c r="E45"/>
  <c r="D45"/>
  <c r="C45"/>
  <c r="B45"/>
  <c r="E46"/>
  <c r="D46"/>
  <c r="C46"/>
  <c r="B46"/>
  <c r="D32" l="1"/>
  <c r="D26"/>
  <c r="D50"/>
  <c r="C50"/>
  <c r="B50"/>
  <c r="F49"/>
  <c r="F50" s="1"/>
  <c r="F46"/>
  <c r="F45"/>
  <c r="F44"/>
  <c r="F43"/>
  <c r="F42"/>
  <c r="F41"/>
  <c r="F47" s="1"/>
  <c r="C47"/>
  <c r="B47"/>
  <c r="B38"/>
  <c r="F37"/>
  <c r="F36"/>
  <c r="F35"/>
  <c r="D38"/>
  <c r="C38"/>
  <c r="E33"/>
  <c r="D33"/>
  <c r="C33"/>
  <c r="B33"/>
  <c r="F32"/>
  <c r="F31"/>
  <c r="F30"/>
  <c r="F29"/>
  <c r="F28"/>
  <c r="F27"/>
  <c r="F26"/>
  <c r="F25"/>
  <c r="F24"/>
  <c r="F22"/>
  <c r="B20"/>
  <c r="F19"/>
  <c r="F18"/>
  <c r="F17"/>
  <c r="F16"/>
  <c r="F15"/>
  <c r="F14"/>
  <c r="F13"/>
  <c r="F12"/>
  <c r="E20"/>
  <c r="D20"/>
  <c r="C20"/>
  <c r="D50" i="19"/>
  <c r="C50"/>
  <c r="B50"/>
  <c r="F49"/>
  <c r="F50" s="1"/>
  <c r="E49"/>
  <c r="E50" s="1"/>
  <c r="C49"/>
  <c r="E46"/>
  <c r="F46" s="1"/>
  <c r="D46"/>
  <c r="C46"/>
  <c r="B46"/>
  <c r="E45"/>
  <c r="D45"/>
  <c r="F45" s="1"/>
  <c r="F44"/>
  <c r="E44"/>
  <c r="D44"/>
  <c r="C44"/>
  <c r="B44"/>
  <c r="F43"/>
  <c r="E43"/>
  <c r="D43"/>
  <c r="C43"/>
  <c r="B43"/>
  <c r="E42"/>
  <c r="E47" s="1"/>
  <c r="D42"/>
  <c r="C42"/>
  <c r="B42"/>
  <c r="E41"/>
  <c r="D41"/>
  <c r="F41" s="1"/>
  <c r="C41"/>
  <c r="C47" s="1"/>
  <c r="B41"/>
  <c r="B47" s="1"/>
  <c r="B38"/>
  <c r="F37"/>
  <c r="E37"/>
  <c r="D37"/>
  <c r="C37"/>
  <c r="B37"/>
  <c r="F36"/>
  <c r="E36"/>
  <c r="D36"/>
  <c r="C36"/>
  <c r="B36"/>
  <c r="E35"/>
  <c r="F35" s="1"/>
  <c r="F38" s="1"/>
  <c r="D35"/>
  <c r="D38" s="1"/>
  <c r="C35"/>
  <c r="C38" s="1"/>
  <c r="B35"/>
  <c r="E33"/>
  <c r="D33"/>
  <c r="C33"/>
  <c r="B33"/>
  <c r="F32"/>
  <c r="F31"/>
  <c r="F30"/>
  <c r="F29"/>
  <c r="F28"/>
  <c r="F27"/>
  <c r="F26"/>
  <c r="F25"/>
  <c r="F24"/>
  <c r="F23"/>
  <c r="F22"/>
  <c r="F33" s="1"/>
  <c r="B20"/>
  <c r="B39" s="1"/>
  <c r="F19"/>
  <c r="E19"/>
  <c r="F18"/>
  <c r="E18"/>
  <c r="D18"/>
  <c r="F17"/>
  <c r="F16"/>
  <c r="E16"/>
  <c r="D16"/>
  <c r="E15"/>
  <c r="D15"/>
  <c r="F15" s="1"/>
  <c r="F14"/>
  <c r="E14"/>
  <c r="F13"/>
  <c r="E13"/>
  <c r="D13"/>
  <c r="F12"/>
  <c r="F20" s="1"/>
  <c r="F39" s="1"/>
  <c r="E12"/>
  <c r="E20" s="1"/>
  <c r="D12"/>
  <c r="D20" s="1"/>
  <c r="D39" s="1"/>
  <c r="C12"/>
  <c r="C20" s="1"/>
  <c r="B12"/>
  <c r="E51" i="17"/>
  <c r="F50"/>
  <c r="E50"/>
  <c r="D50"/>
  <c r="C50"/>
  <c r="B50"/>
  <c r="F49"/>
  <c r="E47"/>
  <c r="D47"/>
  <c r="C47"/>
  <c r="B47"/>
  <c r="F46"/>
  <c r="F45"/>
  <c r="F44"/>
  <c r="F43"/>
  <c r="F42"/>
  <c r="F47" s="1"/>
  <c r="F41"/>
  <c r="E39"/>
  <c r="C39"/>
  <c r="C51" s="1"/>
  <c r="E38"/>
  <c r="D38"/>
  <c r="C38"/>
  <c r="B38"/>
  <c r="F37"/>
  <c r="F36"/>
  <c r="F35"/>
  <c r="F38" s="1"/>
  <c r="E33"/>
  <c r="D33"/>
  <c r="C33"/>
  <c r="B33"/>
  <c r="F32"/>
  <c r="F31"/>
  <c r="F30"/>
  <c r="F29"/>
  <c r="F28"/>
  <c r="F27"/>
  <c r="F26"/>
  <c r="F25"/>
  <c r="F24"/>
  <c r="F23"/>
  <c r="F22"/>
  <c r="F33" s="1"/>
  <c r="E20"/>
  <c r="D20"/>
  <c r="D39" s="1"/>
  <c r="D51" s="1"/>
  <c r="C20"/>
  <c r="B20"/>
  <c r="B39" s="1"/>
  <c r="B51" s="1"/>
  <c r="F19"/>
  <c r="F18"/>
  <c r="F17"/>
  <c r="F16"/>
  <c r="F15"/>
  <c r="F14"/>
  <c r="F13"/>
  <c r="F12"/>
  <c r="F20" s="1"/>
  <c r="F39" s="1"/>
  <c r="E36" i="11"/>
  <c r="E35" i="16"/>
  <c r="E15"/>
  <c r="E47"/>
  <c r="D47"/>
  <c r="C47"/>
  <c r="B47"/>
  <c r="E46"/>
  <c r="D46"/>
  <c r="C46"/>
  <c r="B46"/>
  <c r="E45"/>
  <c r="D45"/>
  <c r="C45"/>
  <c r="B45"/>
  <c r="E44"/>
  <c r="D44"/>
  <c r="C44"/>
  <c r="B44"/>
  <c r="B43"/>
  <c r="E43"/>
  <c r="D43"/>
  <c r="C43"/>
  <c r="E42"/>
  <c r="D42"/>
  <c r="C42"/>
  <c r="B42"/>
  <c r="E41"/>
  <c r="D41"/>
  <c r="C41"/>
  <c r="B41"/>
  <c r="E37"/>
  <c r="D37"/>
  <c r="C37"/>
  <c r="B37"/>
  <c r="E36"/>
  <c r="D36"/>
  <c r="C36"/>
  <c r="B36"/>
  <c r="D35"/>
  <c r="C35"/>
  <c r="B35"/>
  <c r="E32"/>
  <c r="D32"/>
  <c r="C32"/>
  <c r="B32"/>
  <c r="E31"/>
  <c r="D31"/>
  <c r="D30"/>
  <c r="C31"/>
  <c r="B31"/>
  <c r="E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F24" s="1"/>
  <c r="D24"/>
  <c r="C24"/>
  <c r="B24"/>
  <c r="E23"/>
  <c r="D23"/>
  <c r="C23"/>
  <c r="B23"/>
  <c r="E22"/>
  <c r="E23" i="11"/>
  <c r="D22" i="16"/>
  <c r="C22"/>
  <c r="B22"/>
  <c r="E19"/>
  <c r="D19"/>
  <c r="C19"/>
  <c r="B19"/>
  <c r="E18"/>
  <c r="D18"/>
  <c r="C18"/>
  <c r="B18"/>
  <c r="E17"/>
  <c r="D17"/>
  <c r="C17"/>
  <c r="B17"/>
  <c r="E16"/>
  <c r="D16"/>
  <c r="C16"/>
  <c r="B16"/>
  <c r="D15"/>
  <c r="C15"/>
  <c r="B15"/>
  <c r="E14"/>
  <c r="C14"/>
  <c r="E13"/>
  <c r="D13"/>
  <c r="C13"/>
  <c r="B13"/>
  <c r="E12"/>
  <c r="F12" s="1"/>
  <c r="D12"/>
  <c r="C12"/>
  <c r="B12"/>
  <c r="F47"/>
  <c r="F46"/>
  <c r="F45"/>
  <c r="F44"/>
  <c r="F43"/>
  <c r="F42"/>
  <c r="F41"/>
  <c r="C48"/>
  <c r="B48"/>
  <c r="F37"/>
  <c r="F35"/>
  <c r="C38"/>
  <c r="F32"/>
  <c r="F31"/>
  <c r="F30"/>
  <c r="F29"/>
  <c r="F28"/>
  <c r="F26"/>
  <c r="F23"/>
  <c r="F22"/>
  <c r="F19"/>
  <c r="F16"/>
  <c r="F15"/>
  <c r="F14"/>
  <c r="F13"/>
  <c r="D20"/>
  <c r="C20"/>
  <c r="B20"/>
  <c r="E48" i="14"/>
  <c r="D48"/>
  <c r="C48"/>
  <c r="B48"/>
  <c r="F47"/>
  <c r="F46"/>
  <c r="F45"/>
  <c r="F44"/>
  <c r="F43"/>
  <c r="F42"/>
  <c r="F41"/>
  <c r="F48" s="1"/>
  <c r="B39"/>
  <c r="B49" s="1"/>
  <c r="E38"/>
  <c r="D38"/>
  <c r="C38"/>
  <c r="B38"/>
  <c r="F37"/>
  <c r="F36"/>
  <c r="F38" s="1"/>
  <c r="F35"/>
  <c r="E33"/>
  <c r="D33"/>
  <c r="C33"/>
  <c r="B33"/>
  <c r="F32"/>
  <c r="F31"/>
  <c r="F30"/>
  <c r="F29"/>
  <c r="F28"/>
  <c r="F27"/>
  <c r="F26"/>
  <c r="F25"/>
  <c r="F24"/>
  <c r="F23"/>
  <c r="F22"/>
  <c r="E20"/>
  <c r="D20"/>
  <c r="D39" s="1"/>
  <c r="D49" s="1"/>
  <c r="C20"/>
  <c r="C39" s="1"/>
  <c r="C49" s="1"/>
  <c r="B20"/>
  <c r="F19"/>
  <c r="F18"/>
  <c r="F17"/>
  <c r="F16"/>
  <c r="F15"/>
  <c r="F14"/>
  <c r="F13"/>
  <c r="F12"/>
  <c r="F20" s="1"/>
  <c r="F38" i="20" l="1"/>
  <c r="F33"/>
  <c r="B39"/>
  <c r="B51" s="1"/>
  <c r="F20"/>
  <c r="D39"/>
  <c r="C39"/>
  <c r="C51" s="1"/>
  <c r="E47"/>
  <c r="D47"/>
  <c r="E38"/>
  <c r="E39" s="1"/>
  <c r="E39" i="19"/>
  <c r="E51" s="1"/>
  <c r="B51"/>
  <c r="C39"/>
  <c r="C51" s="1"/>
  <c r="D47"/>
  <c r="D51" s="1"/>
  <c r="E38"/>
  <c r="F42"/>
  <c r="F47" s="1"/>
  <c r="F51" i="17"/>
  <c r="E33" i="16"/>
  <c r="F39" i="14"/>
  <c r="F49" s="1"/>
  <c r="F33"/>
  <c r="E39"/>
  <c r="E49" s="1"/>
  <c r="F27" i="16"/>
  <c r="F25"/>
  <c r="E38"/>
  <c r="D33"/>
  <c r="D39" s="1"/>
  <c r="B38"/>
  <c r="E20"/>
  <c r="F17"/>
  <c r="F18"/>
  <c r="B33"/>
  <c r="B39" s="1"/>
  <c r="B49" s="1"/>
  <c r="C33"/>
  <c r="C39" s="1"/>
  <c r="C49" s="1"/>
  <c r="E48"/>
  <c r="F48"/>
  <c r="D38"/>
  <c r="F36"/>
  <c r="F38" s="1"/>
  <c r="D48"/>
  <c r="F39" i="20" l="1"/>
  <c r="D51"/>
  <c r="E51"/>
  <c r="F51" i="19"/>
  <c r="E39" i="16"/>
  <c r="E49" s="1"/>
  <c r="F33"/>
  <c r="F20"/>
  <c r="D49"/>
  <c r="F51" i="20" l="1"/>
  <c r="F39" i="16"/>
  <c r="F49" s="1"/>
  <c r="E48" i="11" l="1"/>
  <c r="D38"/>
  <c r="E30"/>
  <c r="D30"/>
  <c r="C30"/>
  <c r="B30"/>
  <c r="E17"/>
  <c r="D17"/>
  <c r="E18"/>
  <c r="F42"/>
  <c r="E42"/>
  <c r="D42"/>
  <c r="C42"/>
  <c r="B42"/>
  <c r="E19"/>
  <c r="D19"/>
  <c r="C19"/>
  <c r="B19"/>
  <c r="E12"/>
  <c r="D12"/>
  <c r="C12"/>
  <c r="B12"/>
  <c r="F36"/>
  <c r="D36"/>
  <c r="C36"/>
  <c r="B36"/>
  <c r="E32"/>
  <c r="D32"/>
  <c r="C32"/>
  <c r="B32"/>
  <c r="E14"/>
  <c r="D14"/>
  <c r="C14"/>
  <c r="B14"/>
  <c r="E24"/>
  <c r="D24"/>
  <c r="C24"/>
  <c r="B24"/>
  <c r="E28"/>
  <c r="D28"/>
  <c r="C28"/>
  <c r="B28"/>
  <c r="E20"/>
  <c r="D20"/>
  <c r="C20"/>
  <c r="B20"/>
  <c r="E13"/>
  <c r="D13"/>
  <c r="C13"/>
  <c r="B13"/>
  <c r="E25"/>
  <c r="D25"/>
  <c r="C25"/>
  <c r="B25"/>
  <c r="D23"/>
  <c r="C23"/>
  <c r="B23"/>
  <c r="E16"/>
  <c r="D16"/>
  <c r="C16"/>
  <c r="B16"/>
  <c r="E43" l="1"/>
  <c r="D43"/>
  <c r="C43"/>
  <c r="B43"/>
  <c r="F43" l="1"/>
  <c r="F18" l="1"/>
  <c r="D18"/>
  <c r="C18"/>
  <c r="B18"/>
  <c r="F45" l="1"/>
  <c r="E45"/>
  <c r="D45"/>
  <c r="C45"/>
  <c r="B45"/>
  <c r="F46"/>
  <c r="E46"/>
  <c r="D46"/>
  <c r="C46"/>
  <c r="B46"/>
  <c r="F44"/>
  <c r="E44"/>
  <c r="D44"/>
  <c r="C44"/>
  <c r="B44"/>
  <c r="F37"/>
  <c r="E37"/>
  <c r="D37"/>
  <c r="C37"/>
  <c r="B37"/>
  <c r="E33"/>
  <c r="D33"/>
  <c r="C33"/>
  <c r="B33"/>
  <c r="E29"/>
  <c r="D29"/>
  <c r="C29"/>
  <c r="B29"/>
  <c r="D48"/>
  <c r="C48"/>
  <c r="B48"/>
  <c r="E47"/>
  <c r="D47"/>
  <c r="C47"/>
  <c r="B47"/>
  <c r="E38"/>
  <c r="C38"/>
  <c r="B38"/>
  <c r="E26" l="1"/>
  <c r="D26"/>
  <c r="C26"/>
  <c r="B26"/>
  <c r="E15"/>
  <c r="C15"/>
  <c r="F48" l="1"/>
  <c r="F16"/>
  <c r="F17"/>
  <c r="F19"/>
  <c r="F20"/>
  <c r="F12"/>
  <c r="F13"/>
  <c r="F14"/>
  <c r="F15"/>
  <c r="F38"/>
  <c r="F47"/>
  <c r="F23"/>
  <c r="F24"/>
  <c r="F25"/>
  <c r="F27"/>
  <c r="F28"/>
  <c r="F29"/>
  <c r="F30"/>
  <c r="F31"/>
  <c r="F32"/>
  <c r="F33"/>
  <c r="F26"/>
  <c r="E49"/>
  <c r="E39"/>
  <c r="C21"/>
  <c r="C34"/>
  <c r="C39"/>
  <c r="C49"/>
  <c r="C40" l="1"/>
  <c r="C50" s="1"/>
  <c r="B49" l="1"/>
  <c r="B39"/>
  <c r="B34"/>
  <c r="B21"/>
  <c r="D21" l="1"/>
  <c r="D34"/>
  <c r="D49"/>
  <c r="D39"/>
  <c r="E21"/>
  <c r="E34"/>
  <c r="B40"/>
  <c r="B50" s="1"/>
  <c r="F39"/>
  <c r="D40" l="1"/>
  <c r="D50" s="1"/>
  <c r="F49"/>
  <c r="F34"/>
  <c r="F21"/>
  <c r="E40"/>
  <c r="E50" s="1"/>
  <c r="F40" l="1"/>
  <c r="F50" s="1"/>
</calcChain>
</file>

<file path=xl/comments1.xml><?xml version="1.0" encoding="utf-8"?>
<comments xmlns="http://schemas.openxmlformats.org/spreadsheetml/2006/main">
  <authors>
    <author>Автор</author>
  </authors>
  <commentList>
    <comment ref="G4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 сшоре в августе 2023 начался ремонт бассеина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4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 сшоре в августе 2023 начался ремонт бассеина
</t>
        </r>
      </text>
    </comment>
  </commentList>
</comments>
</file>

<file path=xl/sharedStrings.xml><?xml version="1.0" encoding="utf-8"?>
<sst xmlns="http://schemas.openxmlformats.org/spreadsheetml/2006/main" count="559" uniqueCount="92">
  <si>
    <t>Наименование учреждения</t>
  </si>
  <si>
    <t>Детские сады</t>
  </si>
  <si>
    <t>СДШИ</t>
  </si>
  <si>
    <t>Библиотека</t>
  </si>
  <si>
    <t>Музей истории и ремесел</t>
  </si>
  <si>
    <t>Сибирь</t>
  </si>
  <si>
    <t>Аленка</t>
  </si>
  <si>
    <t>Дюймовочка</t>
  </si>
  <si>
    <t>Радуга</t>
  </si>
  <si>
    <t>Родничок</t>
  </si>
  <si>
    <t>Росинка</t>
  </si>
  <si>
    <t>Улыбка</t>
  </si>
  <si>
    <t>Чебурашка</t>
  </si>
  <si>
    <t>Школы</t>
  </si>
  <si>
    <t>Школа № 1  г.п. Советский</t>
  </si>
  <si>
    <t>Школа № 2  г.п. Советский</t>
  </si>
  <si>
    <t>Школа № 4  г.п. Советский</t>
  </si>
  <si>
    <t>Гимназия г.п. Советский</t>
  </si>
  <si>
    <t>Школа г.п. Агириш</t>
  </si>
  <si>
    <t>Школа г.п. Зеленоборск</t>
  </si>
  <si>
    <t>Школа г.п. Коммунистический</t>
  </si>
  <si>
    <t>Школа г.п. Малиновский</t>
  </si>
  <si>
    <t>Школа г.п. Таежный</t>
  </si>
  <si>
    <t>Школа г.п.Пионерский</t>
  </si>
  <si>
    <t>Школа с.п. Алябьевский</t>
  </si>
  <si>
    <t>Дополнительное образование</t>
  </si>
  <si>
    <t>МУК п. Пионерский</t>
  </si>
  <si>
    <t>Созвездие</t>
  </si>
  <si>
    <t>Сфера</t>
  </si>
  <si>
    <t xml:space="preserve">Ромашка </t>
  </si>
  <si>
    <t xml:space="preserve">Олимп                           </t>
  </si>
  <si>
    <t>Союз</t>
  </si>
  <si>
    <t>МАУ ДО СШ Советского района</t>
  </si>
  <si>
    <t>Итого по детским садам</t>
  </si>
  <si>
    <t>Итого по учреждениям доп.образования</t>
  </si>
  <si>
    <t>Всего по учреждениям, подведомственным УО</t>
  </si>
  <si>
    <t>Всего</t>
  </si>
  <si>
    <t>Итого по школам</t>
  </si>
  <si>
    <t>Учреждения, подведомственные Управлению образования администрации Советского района (УО)</t>
  </si>
  <si>
    <t>Тополек (с доходами от д/с Малышок)</t>
  </si>
  <si>
    <t xml:space="preserve">Количество потребителей услуги (человек)                    </t>
  </si>
  <si>
    <t>Доход от оказания услуги 
(рублей)</t>
  </si>
  <si>
    <t>Учреждения, подведомственные Управлению социального развития администрации Советского района (УСР)</t>
  </si>
  <si>
    <t>Всего по учреждениям, подведомственным УСР</t>
  </si>
  <si>
    <t>Мониторинг платных услуг, оказываемых муниципальными бюджетными и автономными учреждениями Советского района, на 01.05.2024 в сравнении с аналогичным периодом прошлого года</t>
  </si>
  <si>
    <t>Динамика по доходам                 на 01.05.2024 к 01.05.2023                                                             (гр.5-гр.4) (рублей)</t>
  </si>
  <si>
    <t>Динамика по доходам                 за 1 квартал 2024 года к                            1 кварталу 2023 года                                 (гр.5-гр.4) (рублей)</t>
  </si>
  <si>
    <t>1 квартал 2023 года</t>
  </si>
  <si>
    <t>1 квартал 2024 года</t>
  </si>
  <si>
    <r>
      <t xml:space="preserve">Мониторинг платных услуг, оказываемых муниципальными бюджетными и автономными учреждениями Советского района, </t>
    </r>
    <r>
      <rPr>
        <b/>
        <u/>
        <sz val="11"/>
        <color theme="1"/>
        <rFont val="Calibri"/>
        <family val="2"/>
        <charset val="204"/>
        <scheme val="minor"/>
      </rPr>
      <t xml:space="preserve">за 1 квартал 2024 года </t>
    </r>
    <r>
      <rPr>
        <sz val="11"/>
        <color theme="1"/>
        <rFont val="Calibri"/>
        <family val="2"/>
        <charset val="204"/>
        <scheme val="minor"/>
      </rPr>
      <t>в сравнении с аналогичным периодом прошлого года</t>
    </r>
  </si>
  <si>
    <t>на 01.05.2023</t>
  </si>
  <si>
    <t>на 01.05.2024</t>
  </si>
  <si>
    <t>Мониторинг платных услуг, оказываемых муниципальными бюджетными и автономными учреждениями Советского района, за май 2024 года в сравнении с аналогичным периодом прошлого года</t>
  </si>
  <si>
    <t>Динамика по доходам                 за май 2024 года к                            маю 2023 года                                 (гр.5-гр.4) (рублей)</t>
  </si>
  <si>
    <t>май 2023 года</t>
  </si>
  <si>
    <t>май 2024 года</t>
  </si>
  <si>
    <t>Мониторинг платных услуг, оказываемых муниципальными бюджетными и автономными учреждениями Советского района, на 01.06.2024 в сравнении с аналогичным периодом прошлого года</t>
  </si>
  <si>
    <t>на 01.06.2023</t>
  </si>
  <si>
    <t>на 01.06.2024</t>
  </si>
  <si>
    <t>Динамика по доходам                 на 01.06.2024 к 01.06.2023                                                             (гр.5-гр.4) (рублей)</t>
  </si>
  <si>
    <t>Мониторинг платных услуг, оказываемых муниципальными бюджетными и автономными учреждениями Советского района, на 01.07.2024 в сравнении с аналогичным периодом прошлого года</t>
  </si>
  <si>
    <t>Динамика по доходам                 на 01.07.2024 к 01.07.2023                                                             (гр.5-гр.4) (рублей)</t>
  </si>
  <si>
    <t>на 01.07.2023</t>
  </si>
  <si>
    <t>на 01.07.2024</t>
  </si>
  <si>
    <t xml:space="preserve">Тополек </t>
  </si>
  <si>
    <t>Учреждения, подведомственные администрации Советского района (АСР)</t>
  </si>
  <si>
    <t>Всего по учреждениям, подведомственным АСР</t>
  </si>
  <si>
    <t>Мониторинг платных услуг, оказываемых муниципальными бюджетными и автономными учреждениями Советского района, на 01.08.2024 в сравнении с аналогичным периодом прошлого года</t>
  </si>
  <si>
    <t>на 01.08.2023</t>
  </si>
  <si>
    <t>на 01.08.2024</t>
  </si>
  <si>
    <t>Динамика по доходам                 на 01.08.2024 к 01.08.2023                                                             (гр.5-гр.4) (рублей)</t>
  </si>
  <si>
    <t>Мониторинг платных услуг, оказываемых муниципальными бюджетными и автономными учреждениями Советского района, на 01.09.2024 в сравнении с аналогичным периодом прошлого года</t>
  </si>
  <si>
    <t>на 01.09.2023</t>
  </si>
  <si>
    <t>на 01.09.2024</t>
  </si>
  <si>
    <t>Динамика по доходам                 на 01.09.2024 к 01.09.2023                                                             (гр.5-гр.4) (рублей)</t>
  </si>
  <si>
    <t xml:space="preserve">Олимп  *                         </t>
  </si>
  <si>
    <t>*  Динамика по доходам на 01.09.2024 к 01.09.2023 по "Олимп" указана без учета выбывших платных услуг</t>
  </si>
  <si>
    <t>Мониторинг платных услуг, оказываемых муниципальными бюджетными и автономными учреждениями Советского района, на 01.10.2024 в сравнении с аналогичным периодом прошлого года</t>
  </si>
  <si>
    <t>на 01.10.2023</t>
  </si>
  <si>
    <t>на 01.10.2024</t>
  </si>
  <si>
    <t>Динамика по доходам                 на 01.10.2024 к 01.10.2023                                                             (гр.5-гр.4) (рублей)</t>
  </si>
  <si>
    <t>*  Динамика по доходам на 01.10.2024 к 01.10.2023 по "Олимп" указана без учета выбывших платных услуг</t>
  </si>
  <si>
    <t>Мониторинг платных услуг, оказываемых муниципальными бюджетными и автономными учреждениями Советского района, на 01.11.2024 в сравнении с аналогичным периодом прошлого года</t>
  </si>
  <si>
    <t>на 01.11.2023</t>
  </si>
  <si>
    <t>на 01.11.2024</t>
  </si>
  <si>
    <t>Динамика доходов                 на 01.11.2024 к 01.11.2023                                                             (гр.5-гр.4) (рублей)</t>
  </si>
  <si>
    <t xml:space="preserve">* Доходы за 2023 год по "Олимп" указаны без учета выбывших платных услуг </t>
  </si>
  <si>
    <t>Мониторинг платных услуг, оказываемых муниципальными бюджетными и автономными учреждениями Советского района, на 01.12.2024 в сравнении с аналогичным периодом прошлого года</t>
  </si>
  <si>
    <t>на 01.12.2023</t>
  </si>
  <si>
    <t>на 01.12.2024</t>
  </si>
  <si>
    <t>Динамика доходов                 на 01.12.2024 к 01.12.2023                                                             (гр.5-гр.4) (рублей)</t>
  </si>
  <si>
    <t>Спортивная школа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</si>
</sst>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6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vertical="top" wrapText="1"/>
    </xf>
    <xf numFmtId="4" fontId="11" fillId="0" borderId="1" xfId="0" applyNumberFormat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FF33CC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topLeftCell="A34" zoomScale="110" zoomScaleSheetLayoutView="110" workbookViewId="0">
      <selection activeCell="A42" sqref="A42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5.42578125" style="13" customWidth="1"/>
    <col min="8" max="8" width="9.140625" style="13"/>
    <col min="9" max="9" width="15" style="13" customWidth="1"/>
    <col min="10" max="10" width="12.42578125" style="13" customWidth="1"/>
    <col min="11" max="11" width="21.42578125" style="13" customWidth="1"/>
    <col min="12" max="16384" width="9.140625" style="13"/>
  </cols>
  <sheetData>
    <row r="1" spans="1:9" ht="7.15" customHeight="1">
      <c r="A1" s="60"/>
      <c r="B1" s="60"/>
      <c r="C1" s="60"/>
      <c r="D1" s="60"/>
      <c r="E1" s="60"/>
      <c r="F1" s="60"/>
    </row>
    <row r="2" spans="1:9" ht="7.5" customHeight="1">
      <c r="A2" s="58"/>
    </row>
    <row r="3" spans="1:9" ht="4.5" hidden="1" customHeight="1">
      <c r="A3" s="58"/>
    </row>
    <row r="4" spans="1:9" ht="51" customHeight="1">
      <c r="A4" s="61" t="s">
        <v>87</v>
      </c>
      <c r="B4" s="61"/>
      <c r="C4" s="61"/>
      <c r="D4" s="61"/>
      <c r="E4" s="61"/>
      <c r="F4" s="61"/>
    </row>
    <row r="5" spans="1:9" ht="19.5" customHeight="1">
      <c r="A5" s="62"/>
      <c r="B5" s="62"/>
      <c r="C5" s="62"/>
      <c r="D5" s="62"/>
      <c r="E5" s="62"/>
      <c r="F5" s="62"/>
    </row>
    <row r="6" spans="1:9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90</v>
      </c>
    </row>
    <row r="7" spans="1:9" ht="21.75" customHeight="1">
      <c r="A7" s="63"/>
      <c r="B7" s="66"/>
      <c r="C7" s="67"/>
      <c r="D7" s="66"/>
      <c r="E7" s="67"/>
      <c r="F7" s="63"/>
    </row>
    <row r="8" spans="1:9" ht="21.75" customHeight="1">
      <c r="A8" s="63"/>
      <c r="B8" s="20" t="s">
        <v>88</v>
      </c>
      <c r="C8" s="20" t="s">
        <v>89</v>
      </c>
      <c r="D8" s="20" t="s">
        <v>88</v>
      </c>
      <c r="E8" s="20" t="s">
        <v>89</v>
      </c>
      <c r="F8" s="63"/>
    </row>
    <row r="9" spans="1:9" ht="15" customHeight="1">
      <c r="A9" s="59">
        <v>1</v>
      </c>
      <c r="B9" s="59">
        <v>2</v>
      </c>
      <c r="C9" s="59">
        <v>3</v>
      </c>
      <c r="D9" s="59">
        <v>4</v>
      </c>
      <c r="E9" s="59">
        <v>5</v>
      </c>
      <c r="F9" s="59">
        <v>6</v>
      </c>
    </row>
    <row r="10" spans="1:9" ht="21.75" customHeight="1">
      <c r="A10" s="70" t="s">
        <v>38</v>
      </c>
      <c r="B10" s="71"/>
      <c r="C10" s="71"/>
      <c r="D10" s="71"/>
      <c r="E10" s="71"/>
      <c r="F10" s="72"/>
    </row>
    <row r="11" spans="1:9" ht="16.5" customHeight="1">
      <c r="A11" s="70" t="s">
        <v>1</v>
      </c>
      <c r="B11" s="71"/>
      <c r="C11" s="71"/>
      <c r="D11" s="71"/>
      <c r="E11" s="71"/>
      <c r="F11" s="72"/>
    </row>
    <row r="12" spans="1:9" ht="24" customHeight="1">
      <c r="A12" s="1" t="s">
        <v>7</v>
      </c>
      <c r="B12" s="48">
        <f>1318+271+290</f>
        <v>1879</v>
      </c>
      <c r="C12" s="48">
        <f>2169+426+453</f>
        <v>3048</v>
      </c>
      <c r="D12" s="2">
        <f>640882+67331+138697</f>
        <v>846910</v>
      </c>
      <c r="E12" s="2">
        <f>901270+150142+215859</f>
        <v>1267271</v>
      </c>
      <c r="F12" s="2">
        <f>E12-D12</f>
        <v>420361</v>
      </c>
      <c r="G12" s="17"/>
      <c r="I12" s="17"/>
    </row>
    <row r="13" spans="1:9" ht="24" customHeight="1">
      <c r="A13" s="1" t="s">
        <v>8</v>
      </c>
      <c r="B13" s="59">
        <f>808+0+122+192</f>
        <v>1122</v>
      </c>
      <c r="C13" s="59">
        <f>717+0+301+394</f>
        <v>1412</v>
      </c>
      <c r="D13" s="2">
        <f>422731+29744+33090</f>
        <v>485565</v>
      </c>
      <c r="E13" s="2">
        <f>313770+3885+109120</f>
        <v>426775</v>
      </c>
      <c r="F13" s="2">
        <f t="shared" ref="F13:F19" si="0">E13-D13</f>
        <v>-58790</v>
      </c>
      <c r="G13" s="17"/>
      <c r="I13" s="17"/>
    </row>
    <row r="14" spans="1:9" ht="24" customHeight="1">
      <c r="A14" s="1" t="s">
        <v>9</v>
      </c>
      <c r="B14" s="59">
        <f>0+0</f>
        <v>0</v>
      </c>
      <c r="C14" s="59">
        <f>319+155+155</f>
        <v>629</v>
      </c>
      <c r="D14" s="2">
        <v>0</v>
      </c>
      <c r="E14" s="2">
        <f>146153+21099+55559</f>
        <v>222811</v>
      </c>
      <c r="F14" s="2">
        <f t="shared" si="0"/>
        <v>222811</v>
      </c>
      <c r="G14" s="17"/>
      <c r="I14" s="17"/>
    </row>
    <row r="15" spans="1:9" ht="24" customHeight="1">
      <c r="A15" s="1" t="s">
        <v>29</v>
      </c>
      <c r="B15" s="59">
        <f>2909+654+752</f>
        <v>4315</v>
      </c>
      <c r="C15" s="59">
        <f>3227+523+852</f>
        <v>4602</v>
      </c>
      <c r="D15" s="2">
        <f>1543413.32+125083+327872</f>
        <v>1996368.32</v>
      </c>
      <c r="E15" s="2">
        <f>1976409.64+33870+376017</f>
        <v>2386296.6399999997</v>
      </c>
      <c r="F15" s="2">
        <f t="shared" si="0"/>
        <v>389928.3199999996</v>
      </c>
      <c r="G15" s="17"/>
      <c r="I15" s="17"/>
    </row>
    <row r="16" spans="1:9" ht="24" customHeight="1">
      <c r="A16" s="1" t="s">
        <v>10</v>
      </c>
      <c r="B16" s="39">
        <f>716+0+291</f>
        <v>1007</v>
      </c>
      <c r="C16" s="39">
        <f>1428+0+256</f>
        <v>1684</v>
      </c>
      <c r="D16" s="2">
        <f>131128+114316</f>
        <v>245444</v>
      </c>
      <c r="E16" s="2">
        <f>652143+5361+129658</f>
        <v>787162</v>
      </c>
      <c r="F16" s="2">
        <f t="shared" si="0"/>
        <v>541718</v>
      </c>
      <c r="G16" s="17"/>
      <c r="I16" s="17"/>
    </row>
    <row r="17" spans="1:9" ht="34.15" customHeight="1">
      <c r="A17" s="1" t="s">
        <v>64</v>
      </c>
      <c r="B17" s="59">
        <f>323+297+139</f>
        <v>759</v>
      </c>
      <c r="C17" s="59">
        <f>733+0+109+109</f>
        <v>951</v>
      </c>
      <c r="D17" s="2">
        <f>127104+291706+49305</f>
        <v>468115</v>
      </c>
      <c r="E17" s="2">
        <f>397643+77059+65445</f>
        <v>540147</v>
      </c>
      <c r="F17" s="2">
        <f t="shared" si="0"/>
        <v>72032</v>
      </c>
      <c r="G17" s="17"/>
      <c r="I17" s="17"/>
    </row>
    <row r="18" spans="1:9" ht="24" customHeight="1">
      <c r="A18" s="1" t="s">
        <v>11</v>
      </c>
      <c r="B18" s="59">
        <f>630+108+107</f>
        <v>845</v>
      </c>
      <c r="C18" s="59">
        <f>613+146+152</f>
        <v>911</v>
      </c>
      <c r="D18" s="2">
        <f>241467+39008+47886</f>
        <v>328361</v>
      </c>
      <c r="E18" s="2">
        <f>214494+35987+45101</f>
        <v>295582</v>
      </c>
      <c r="F18" s="2">
        <f t="shared" si="0"/>
        <v>-32779</v>
      </c>
      <c r="G18" s="17"/>
      <c r="I18" s="17"/>
    </row>
    <row r="19" spans="1:9" ht="24" customHeight="1">
      <c r="A19" s="1" t="s">
        <v>12</v>
      </c>
      <c r="B19" s="59">
        <f>284+52+52</f>
        <v>388</v>
      </c>
      <c r="C19" s="59">
        <f>220+53+54</f>
        <v>327</v>
      </c>
      <c r="D19" s="2">
        <f>76629+1152+24014</f>
        <v>101795</v>
      </c>
      <c r="E19" s="2">
        <f>84353+672+16236</f>
        <v>101261</v>
      </c>
      <c r="F19" s="2">
        <f t="shared" si="0"/>
        <v>-534</v>
      </c>
      <c r="G19" s="17"/>
      <c r="I19" s="17"/>
    </row>
    <row r="20" spans="1:9" ht="24" customHeight="1">
      <c r="A20" s="3" t="s">
        <v>33</v>
      </c>
      <c r="B20" s="14">
        <f>SUM(B12:B19)</f>
        <v>10315</v>
      </c>
      <c r="C20" s="14">
        <f>SUM(C12:C19)</f>
        <v>13564</v>
      </c>
      <c r="D20" s="7">
        <f>SUM(D12:D19)</f>
        <v>4472558.32</v>
      </c>
      <c r="E20" s="7">
        <f>SUM(E12:E19)</f>
        <v>6027305.6399999997</v>
      </c>
      <c r="F20" s="7">
        <f>SUM(F12:F19)</f>
        <v>1554747.3199999996</v>
      </c>
      <c r="G20" s="17"/>
      <c r="I20" s="17"/>
    </row>
    <row r="21" spans="1:9" ht="24" customHeight="1">
      <c r="A21" s="73" t="s">
        <v>13</v>
      </c>
      <c r="B21" s="74"/>
      <c r="C21" s="74"/>
      <c r="D21" s="74"/>
      <c r="E21" s="74"/>
      <c r="F21" s="75"/>
      <c r="G21" s="17"/>
      <c r="I21" s="17"/>
    </row>
    <row r="22" spans="1:9" ht="24" customHeight="1">
      <c r="A22" s="1" t="s">
        <v>14</v>
      </c>
      <c r="B22" s="59">
        <v>477</v>
      </c>
      <c r="C22" s="59">
        <f>641+18+18</f>
        <v>677</v>
      </c>
      <c r="D22" s="2">
        <v>371114.74</v>
      </c>
      <c r="E22" s="2">
        <f>402851+7524+15048</f>
        <v>425423</v>
      </c>
      <c r="F22" s="2">
        <f>E22-D22</f>
        <v>54308.260000000009</v>
      </c>
      <c r="G22" s="17"/>
      <c r="I22" s="17"/>
    </row>
    <row r="23" spans="1:9" ht="24" customHeight="1">
      <c r="A23" s="1" t="s">
        <v>15</v>
      </c>
      <c r="B23" s="59">
        <v>69</v>
      </c>
      <c r="C23" s="59">
        <v>110</v>
      </c>
      <c r="D23" s="2">
        <v>266447.65000000002</v>
      </c>
      <c r="E23" s="2">
        <v>717413.05</v>
      </c>
      <c r="F23" s="2">
        <f>E23-D23</f>
        <v>450965.4</v>
      </c>
      <c r="G23" s="17"/>
      <c r="I23" s="17"/>
    </row>
    <row r="24" spans="1:9" ht="24" customHeight="1">
      <c r="A24" s="1" t="s">
        <v>16</v>
      </c>
      <c r="B24" s="59">
        <v>107</v>
      </c>
      <c r="C24" s="59">
        <v>54</v>
      </c>
      <c r="D24" s="2">
        <v>158180</v>
      </c>
      <c r="E24" s="2">
        <v>122505.60000000001</v>
      </c>
      <c r="F24" s="2">
        <f t="shared" ref="F24:F32" si="1">E24-D24</f>
        <v>-35674.399999999994</v>
      </c>
      <c r="G24" s="17"/>
      <c r="I24" s="17"/>
    </row>
    <row r="25" spans="1:9" ht="24" customHeight="1">
      <c r="A25" s="1" t="s">
        <v>17</v>
      </c>
      <c r="B25" s="59">
        <f>176+26</f>
        <v>202</v>
      </c>
      <c r="C25" s="59">
        <f>742+0+34+112</f>
        <v>888</v>
      </c>
      <c r="D25" s="2">
        <f>321484+31200</f>
        <v>352684</v>
      </c>
      <c r="E25" s="2">
        <f>487318.8+112166+283460</f>
        <v>882944.8</v>
      </c>
      <c r="F25" s="2">
        <f t="shared" si="1"/>
        <v>530260.80000000005</v>
      </c>
      <c r="G25" s="17"/>
      <c r="I25" s="17"/>
    </row>
    <row r="26" spans="1:9" ht="24" customHeight="1">
      <c r="A26" s="1" t="s">
        <v>18</v>
      </c>
      <c r="B26" s="59">
        <v>18</v>
      </c>
      <c r="C26" s="59">
        <v>11</v>
      </c>
      <c r="D26" s="2">
        <v>28560</v>
      </c>
      <c r="E26" s="2">
        <v>31160</v>
      </c>
      <c r="F26" s="2">
        <f t="shared" si="1"/>
        <v>2600</v>
      </c>
      <c r="G26" s="17"/>
      <c r="I26" s="17"/>
    </row>
    <row r="27" spans="1:9" ht="24" customHeight="1">
      <c r="A27" s="1" t="s">
        <v>19</v>
      </c>
      <c r="B27" s="59">
        <f>134+16</f>
        <v>150</v>
      </c>
      <c r="C27" s="59">
        <f>90+25+38</f>
        <v>153</v>
      </c>
      <c r="D27" s="2">
        <f>25534.43+2439.84+1548.36</f>
        <v>29522.63</v>
      </c>
      <c r="E27" s="2">
        <f>15622.79+6262.25+8623.22</f>
        <v>30508.260000000002</v>
      </c>
      <c r="F27" s="2">
        <f t="shared" si="1"/>
        <v>985.63000000000102</v>
      </c>
      <c r="G27" s="17"/>
      <c r="I27" s="17"/>
    </row>
    <row r="28" spans="1:9" ht="24" customHeight="1">
      <c r="A28" s="1" t="s">
        <v>20</v>
      </c>
      <c r="B28" s="59">
        <f>49+64+64</f>
        <v>177</v>
      </c>
      <c r="C28" s="59">
        <f>66+52+53</f>
        <v>171</v>
      </c>
      <c r="D28" s="2">
        <f>75985.63+28608.78+16711.05</f>
        <v>121305.46</v>
      </c>
      <c r="E28" s="2">
        <f>116293.87+24543.95+27240.83</f>
        <v>168078.65000000002</v>
      </c>
      <c r="F28" s="2">
        <f t="shared" si="1"/>
        <v>46773.190000000017</v>
      </c>
      <c r="G28" s="17"/>
      <c r="I28" s="17"/>
    </row>
    <row r="29" spans="1:9" ht="24" customHeight="1">
      <c r="A29" s="1" t="s">
        <v>21</v>
      </c>
      <c r="B29" s="59">
        <f>17+0</f>
        <v>17</v>
      </c>
      <c r="C29" s="59">
        <f>19+0</f>
        <v>19</v>
      </c>
      <c r="D29" s="2">
        <v>25336</v>
      </c>
      <c r="E29" s="2">
        <v>31312</v>
      </c>
      <c r="F29" s="2">
        <f t="shared" si="1"/>
        <v>5976</v>
      </c>
      <c r="G29" s="17"/>
      <c r="I29" s="17"/>
    </row>
    <row r="30" spans="1:9" ht="24" customHeight="1">
      <c r="A30" s="1" t="s">
        <v>22</v>
      </c>
      <c r="B30" s="59">
        <v>19</v>
      </c>
      <c r="C30" s="59">
        <f>10+0+14+51</f>
        <v>75</v>
      </c>
      <c r="D30" s="2">
        <v>30420</v>
      </c>
      <c r="E30" s="2">
        <f>13320+7735+28240</f>
        <v>49295</v>
      </c>
      <c r="F30" s="2">
        <f t="shared" si="1"/>
        <v>18875</v>
      </c>
      <c r="G30" s="17"/>
      <c r="I30" s="17"/>
    </row>
    <row r="31" spans="1:9" ht="24" customHeight="1">
      <c r="A31" s="1" t="s">
        <v>23</v>
      </c>
      <c r="B31" s="59">
        <f>11+0+4</f>
        <v>15</v>
      </c>
      <c r="C31" s="59">
        <f>0+0</f>
        <v>0</v>
      </c>
      <c r="D31" s="2">
        <v>12600</v>
      </c>
      <c r="E31" s="2">
        <v>0</v>
      </c>
      <c r="F31" s="2">
        <f t="shared" si="1"/>
        <v>-12600</v>
      </c>
      <c r="G31" s="17"/>
      <c r="I31" s="17"/>
    </row>
    <row r="32" spans="1:9" ht="24" customHeight="1">
      <c r="A32" s="1" t="s">
        <v>24</v>
      </c>
      <c r="B32" s="59">
        <f>6+25</f>
        <v>31</v>
      </c>
      <c r="C32" s="59">
        <f>27+42</f>
        <v>69</v>
      </c>
      <c r="D32" s="2">
        <f>24160+27160</f>
        <v>51320</v>
      </c>
      <c r="E32" s="2">
        <f>126585+31455+33790</f>
        <v>191830</v>
      </c>
      <c r="F32" s="2">
        <f t="shared" si="1"/>
        <v>140510</v>
      </c>
      <c r="G32" s="17"/>
      <c r="I32" s="17"/>
    </row>
    <row r="33" spans="1:11" ht="24" customHeight="1">
      <c r="A33" s="3" t="s">
        <v>37</v>
      </c>
      <c r="B33" s="14">
        <f t="shared" ref="B33:F33" si="2">SUM(B22:B32)</f>
        <v>1282</v>
      </c>
      <c r="C33" s="14">
        <f t="shared" si="2"/>
        <v>2227</v>
      </c>
      <c r="D33" s="7">
        <f t="shared" si="2"/>
        <v>1447490.48</v>
      </c>
      <c r="E33" s="7">
        <f t="shared" si="2"/>
        <v>2650470.36</v>
      </c>
      <c r="F33" s="7">
        <f t="shared" si="2"/>
        <v>1202979.8800000001</v>
      </c>
      <c r="G33" s="17"/>
      <c r="I33" s="17"/>
    </row>
    <row r="34" spans="1:11" ht="24" customHeight="1">
      <c r="A34" s="76" t="s">
        <v>25</v>
      </c>
      <c r="B34" s="77"/>
      <c r="C34" s="77"/>
      <c r="D34" s="77"/>
      <c r="E34" s="77"/>
      <c r="F34" s="78"/>
      <c r="G34" s="17"/>
      <c r="I34" s="17"/>
    </row>
    <row r="35" spans="1:11" ht="24" customHeight="1">
      <c r="A35" s="1" t="s">
        <v>26</v>
      </c>
      <c r="B35" s="59">
        <f>144314+35025+28015</f>
        <v>207354</v>
      </c>
      <c r="C35" s="59">
        <f>277966+35780+33372</f>
        <v>347118</v>
      </c>
      <c r="D35" s="2">
        <f>15257970.32+2552405.63+1771556.56</f>
        <v>19581932.509999998</v>
      </c>
      <c r="E35" s="2">
        <f>20479571.38+2923166.73+2831199.98</f>
        <v>26233938.09</v>
      </c>
      <c r="F35" s="2">
        <f>E35-D35</f>
        <v>6652005.5800000019</v>
      </c>
      <c r="G35" s="17"/>
      <c r="I35" s="17"/>
      <c r="K35" s="17"/>
    </row>
    <row r="36" spans="1:11" ht="24" customHeight="1">
      <c r="A36" s="1" t="s">
        <v>27</v>
      </c>
      <c r="B36" s="59">
        <f>4991+442+410</f>
        <v>5843</v>
      </c>
      <c r="C36" s="59">
        <f>4316+360+803</f>
        <v>5479</v>
      </c>
      <c r="D36" s="2">
        <f>901329.16+89636.4+180421.05</f>
        <v>1171386.6100000001</v>
      </c>
      <c r="E36" s="2">
        <f>912418.83+88920.98+191225.92</f>
        <v>1192565.73</v>
      </c>
      <c r="F36" s="2">
        <f t="shared" ref="F36:F37" si="3">E36-D36</f>
        <v>21179.119999999879</v>
      </c>
      <c r="G36" s="17"/>
      <c r="I36" s="17"/>
      <c r="K36" s="17"/>
    </row>
    <row r="37" spans="1:11" ht="24" customHeight="1">
      <c r="A37" s="34" t="s">
        <v>28</v>
      </c>
      <c r="B37" s="59">
        <f>220+26+23</f>
        <v>269</v>
      </c>
      <c r="C37" s="59">
        <f>246+33+34</f>
        <v>313</v>
      </c>
      <c r="D37" s="2">
        <f>922386.32+108855+85342</f>
        <v>1116583.3199999998</v>
      </c>
      <c r="E37" s="2">
        <f>902950.51+139404.45+142298</f>
        <v>1184652.96</v>
      </c>
      <c r="F37" s="2">
        <f t="shared" si="3"/>
        <v>68069.64000000013</v>
      </c>
      <c r="G37" s="17"/>
      <c r="I37" s="17"/>
      <c r="K37" s="17"/>
    </row>
    <row r="38" spans="1:11" ht="31.5">
      <c r="A38" s="3" t="s">
        <v>34</v>
      </c>
      <c r="B38" s="14">
        <f>SUM(B35:B37)</f>
        <v>213466</v>
      </c>
      <c r="C38" s="14">
        <f>SUM(C35:C37)</f>
        <v>352910</v>
      </c>
      <c r="D38" s="7">
        <f>SUM(D35:D37)</f>
        <v>21869902.439999998</v>
      </c>
      <c r="E38" s="7">
        <f>SUM(E35:E37)</f>
        <v>28611156.780000001</v>
      </c>
      <c r="F38" s="7">
        <f>SUM(F35:F37)</f>
        <v>6741254.3400000017</v>
      </c>
      <c r="G38" s="17"/>
      <c r="I38" s="17"/>
      <c r="J38" s="17"/>
      <c r="K38" s="17"/>
    </row>
    <row r="39" spans="1:11" ht="31.5">
      <c r="A39" s="4" t="s">
        <v>35</v>
      </c>
      <c r="B39" s="14">
        <f>B20+B33+B38</f>
        <v>225063</v>
      </c>
      <c r="C39" s="14">
        <f>C20+C33+C38</f>
        <v>368701</v>
      </c>
      <c r="D39" s="7">
        <f>D20+D33+D38</f>
        <v>27789951.239999998</v>
      </c>
      <c r="E39" s="7">
        <f>E20+E33+E38</f>
        <v>37288932.780000001</v>
      </c>
      <c r="F39" s="7">
        <f>F20+F33+F38</f>
        <v>9498981.540000001</v>
      </c>
      <c r="G39" s="17"/>
      <c r="I39" s="17"/>
      <c r="K39" s="17"/>
    </row>
    <row r="40" spans="1:11" ht="15.75">
      <c r="A40" s="70" t="s">
        <v>42</v>
      </c>
      <c r="B40" s="71"/>
      <c r="C40" s="71"/>
      <c r="D40" s="71"/>
      <c r="E40" s="71"/>
      <c r="F40" s="72"/>
      <c r="G40" s="17"/>
      <c r="I40" s="17"/>
    </row>
    <row r="41" spans="1:11" ht="24" customHeight="1">
      <c r="A41" s="1" t="s">
        <v>75</v>
      </c>
      <c r="B41" s="5">
        <f>19543+1564+3573</f>
        <v>24680</v>
      </c>
      <c r="C41" s="5">
        <f>24202+3259+2148</f>
        <v>29609</v>
      </c>
      <c r="D41" s="2">
        <f>7758748.13+617362+2071450.84</f>
        <v>10447560.970000001</v>
      </c>
      <c r="E41" s="2">
        <f>9578791.99+1239201.11+807321.23</f>
        <v>11625314.33</v>
      </c>
      <c r="F41" s="2">
        <f>E41-D41</f>
        <v>1177753.3599999994</v>
      </c>
      <c r="G41" s="17"/>
      <c r="I41" s="17"/>
    </row>
    <row r="42" spans="1:11" ht="24" customHeight="1">
      <c r="A42" s="1" t="s">
        <v>91</v>
      </c>
      <c r="B42" s="59">
        <f>2930+262</f>
        <v>3192</v>
      </c>
      <c r="C42" s="59">
        <f>12855+2514</f>
        <v>15369</v>
      </c>
      <c r="D42" s="2">
        <f>1954205+101240+242795</f>
        <v>2298240</v>
      </c>
      <c r="E42" s="51">
        <f>3713471+969200+638525</f>
        <v>5321196</v>
      </c>
      <c r="F42" s="2">
        <f t="shared" ref="F42:F46" si="4">E42-D42</f>
        <v>3022956</v>
      </c>
      <c r="G42" s="17"/>
      <c r="I42" s="17"/>
    </row>
    <row r="43" spans="1:11" ht="24" customHeight="1">
      <c r="A43" s="1" t="s">
        <v>3</v>
      </c>
      <c r="B43" s="5">
        <f>5581+1055</f>
        <v>6636</v>
      </c>
      <c r="C43" s="5">
        <f>5818+764</f>
        <v>6582</v>
      </c>
      <c r="D43" s="2">
        <f>492415+76312+145995</f>
        <v>714722</v>
      </c>
      <c r="E43" s="2">
        <f>584522+66363+113326</f>
        <v>764211</v>
      </c>
      <c r="F43" s="2">
        <f t="shared" si="4"/>
        <v>49489</v>
      </c>
      <c r="G43" s="17"/>
      <c r="I43" s="17"/>
    </row>
    <row r="44" spans="1:11" ht="24" customHeight="1">
      <c r="A44" s="1" t="s">
        <v>4</v>
      </c>
      <c r="B44" s="5">
        <f>8758+619</f>
        <v>9377</v>
      </c>
      <c r="C44" s="5">
        <f>13013+1277</f>
        <v>14290</v>
      </c>
      <c r="D44" s="2">
        <f>1051547+68200+131200</f>
        <v>1250947</v>
      </c>
      <c r="E44" s="2">
        <f>1317760+86850+147550</f>
        <v>1552160</v>
      </c>
      <c r="F44" s="2">
        <f t="shared" si="4"/>
        <v>301213</v>
      </c>
      <c r="G44" s="17"/>
      <c r="I44" s="17"/>
    </row>
    <row r="45" spans="1:11" ht="24" customHeight="1">
      <c r="A45" s="1" t="s">
        <v>2</v>
      </c>
      <c r="B45" s="59">
        <f>1016+87+150</f>
        <v>1253</v>
      </c>
      <c r="C45" s="59">
        <f>1490+129+226</f>
        <v>1845</v>
      </c>
      <c r="D45" s="2">
        <f>719530+219830+215435</f>
        <v>1154795</v>
      </c>
      <c r="E45" s="2">
        <f>1223139.14+176250+171685</f>
        <v>1571074.14</v>
      </c>
      <c r="F45" s="2">
        <f t="shared" si="4"/>
        <v>416279.1399999999</v>
      </c>
      <c r="G45" s="17"/>
      <c r="I45" s="17"/>
    </row>
    <row r="46" spans="1:11" ht="24" customHeight="1">
      <c r="A46" s="1" t="s">
        <v>5</v>
      </c>
      <c r="B46" s="5">
        <f>35176+11657+8886+1048+1725</f>
        <v>58492</v>
      </c>
      <c r="C46" s="5">
        <f>43891+911+725</f>
        <v>45527</v>
      </c>
      <c r="D46" s="2">
        <f>8814800+202400+452500</f>
        <v>9469700</v>
      </c>
      <c r="E46" s="2">
        <f>8711720+202500+307950</f>
        <v>9222170</v>
      </c>
      <c r="F46" s="2">
        <f t="shared" si="4"/>
        <v>-247530</v>
      </c>
      <c r="G46" s="17"/>
      <c r="I46" s="17"/>
    </row>
    <row r="47" spans="1:11" ht="32.450000000000003" customHeight="1">
      <c r="A47" s="6" t="s">
        <v>43</v>
      </c>
      <c r="B47" s="8">
        <f>SUM(B41:B46)</f>
        <v>103630</v>
      </c>
      <c r="C47" s="8">
        <f>SUM(C41:C46)</f>
        <v>113222</v>
      </c>
      <c r="D47" s="7">
        <f>SUM(D41:D46)</f>
        <v>25335964.969999999</v>
      </c>
      <c r="E47" s="7">
        <f>SUM(E41:E46)</f>
        <v>30056125.469999999</v>
      </c>
      <c r="F47" s="7">
        <f>SUM(F41:F46)</f>
        <v>4720160.4999999991</v>
      </c>
      <c r="G47" s="17"/>
      <c r="I47" s="17"/>
    </row>
    <row r="48" spans="1:11" ht="24" customHeight="1">
      <c r="A48" s="70" t="s">
        <v>65</v>
      </c>
      <c r="B48" s="71"/>
      <c r="C48" s="71"/>
      <c r="D48" s="71"/>
      <c r="E48" s="71"/>
      <c r="F48" s="72"/>
      <c r="G48" s="17"/>
      <c r="I48" s="17"/>
    </row>
    <row r="49" spans="1:9" ht="24" customHeight="1">
      <c r="A49" s="1" t="s">
        <v>31</v>
      </c>
      <c r="B49" s="5">
        <f>63+2+3</f>
        <v>68</v>
      </c>
      <c r="C49" s="5">
        <f>199+7+7</f>
        <v>213</v>
      </c>
      <c r="D49" s="2">
        <f>69000+28500+6500</f>
        <v>104000</v>
      </c>
      <c r="E49" s="2">
        <f>109500+47250+55250</f>
        <v>212000</v>
      </c>
      <c r="F49" s="2">
        <f>E49-D49</f>
        <v>108000</v>
      </c>
      <c r="G49" s="17"/>
      <c r="I49" s="17"/>
    </row>
    <row r="50" spans="1:9" ht="32.450000000000003" customHeight="1">
      <c r="A50" s="6" t="s">
        <v>66</v>
      </c>
      <c r="B50" s="8">
        <f>B49</f>
        <v>68</v>
      </c>
      <c r="C50" s="8">
        <f t="shared" ref="C50:F50" si="5">C49</f>
        <v>213</v>
      </c>
      <c r="D50" s="7">
        <f t="shared" si="5"/>
        <v>104000</v>
      </c>
      <c r="E50" s="7">
        <f>E49</f>
        <v>212000</v>
      </c>
      <c r="F50" s="7">
        <f t="shared" si="5"/>
        <v>108000</v>
      </c>
      <c r="G50" s="17"/>
      <c r="I50" s="17"/>
    </row>
    <row r="51" spans="1:9" ht="42.6" customHeight="1">
      <c r="A51" s="4" t="s">
        <v>36</v>
      </c>
      <c r="B51" s="8">
        <f>B39+B47+B50</f>
        <v>328761</v>
      </c>
      <c r="C51" s="8">
        <f t="shared" ref="C51:E51" si="6">C39+C47+C50</f>
        <v>482136</v>
      </c>
      <c r="D51" s="7">
        <f t="shared" si="6"/>
        <v>53229916.209999993</v>
      </c>
      <c r="E51" s="7">
        <f t="shared" si="6"/>
        <v>67557058.25</v>
      </c>
      <c r="F51" s="7">
        <f>F50+F47+F39</f>
        <v>14327142.039999999</v>
      </c>
      <c r="G51" s="17"/>
      <c r="I51" s="17"/>
    </row>
    <row r="52" spans="1:9" ht="42.6" customHeight="1">
      <c r="A52" s="68" t="s">
        <v>86</v>
      </c>
      <c r="B52" s="68"/>
      <c r="C52" s="68"/>
      <c r="D52" s="68"/>
      <c r="E52" s="68"/>
      <c r="F52" s="68"/>
      <c r="G52" s="17"/>
      <c r="I52" s="17"/>
    </row>
    <row r="53" spans="1:9" s="15" customFormat="1" ht="28.5" customHeight="1">
      <c r="A53" s="16"/>
      <c r="B53" s="17"/>
      <c r="C53" s="17"/>
      <c r="D53" s="17"/>
      <c r="E53" s="17"/>
      <c r="F53" s="13"/>
    </row>
    <row r="54" spans="1:9" ht="60.75" customHeight="1">
      <c r="A54" s="19"/>
      <c r="E54" s="17"/>
      <c r="G54" s="18"/>
    </row>
    <row r="55" spans="1:9">
      <c r="A55" s="69"/>
      <c r="B55" s="69"/>
      <c r="C55" s="69"/>
      <c r="D55" s="69"/>
      <c r="E55" s="69"/>
      <c r="F55" s="69"/>
    </row>
    <row r="56" spans="1:9" hidden="1"/>
  </sheetData>
  <mergeCells count="14">
    <mergeCell ref="A52:F52"/>
    <mergeCell ref="A55:F55"/>
    <mergeCell ref="A10:F10"/>
    <mergeCell ref="A11:F11"/>
    <mergeCell ref="A21:F21"/>
    <mergeCell ref="A34:F34"/>
    <mergeCell ref="A40:F40"/>
    <mergeCell ref="A48:F48"/>
    <mergeCell ref="A1:F1"/>
    <mergeCell ref="A4:F5"/>
    <mergeCell ref="A6:A8"/>
    <mergeCell ref="B6:C7"/>
    <mergeCell ref="D6:E7"/>
    <mergeCell ref="F6:F8"/>
  </mergeCells>
  <pageMargins left="0.7" right="0" top="0.34" bottom="0.39370078740157483" header="0" footer="0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3"/>
  <dimension ref="A3:F49"/>
  <sheetViews>
    <sheetView topLeftCell="A13" workbookViewId="0">
      <selection activeCell="F24" sqref="F24"/>
    </sheetView>
  </sheetViews>
  <sheetFormatPr defaultColWidth="8.85546875" defaultRowHeight="15"/>
  <cols>
    <col min="1" max="1" width="28.28515625" style="21" customWidth="1"/>
    <col min="2" max="5" width="13" style="21" customWidth="1"/>
    <col min="6" max="6" width="16.7109375" style="21" customWidth="1"/>
    <col min="7" max="16384" width="8.85546875" style="21"/>
  </cols>
  <sheetData>
    <row r="3" spans="1:6" ht="31.9" customHeight="1">
      <c r="A3" s="81" t="s">
        <v>49</v>
      </c>
      <c r="B3" s="82"/>
      <c r="C3" s="82"/>
      <c r="D3" s="82"/>
      <c r="E3" s="82"/>
      <c r="F3" s="83"/>
    </row>
    <row r="4" spans="1:6">
      <c r="A4" s="84"/>
      <c r="B4" s="85"/>
      <c r="C4" s="85"/>
      <c r="D4" s="85"/>
      <c r="E4" s="85"/>
      <c r="F4" s="86"/>
    </row>
    <row r="5" spans="1:6" ht="108" customHeight="1">
      <c r="A5" s="23" t="s">
        <v>0</v>
      </c>
      <c r="B5" s="79" t="s">
        <v>40</v>
      </c>
      <c r="C5" s="80"/>
      <c r="D5" s="79" t="s">
        <v>41</v>
      </c>
      <c r="E5" s="80"/>
      <c r="F5" s="23" t="s">
        <v>46</v>
      </c>
    </row>
    <row r="6" spans="1:6">
      <c r="A6" s="23"/>
      <c r="B6" s="23"/>
      <c r="C6" s="23"/>
      <c r="D6" s="23"/>
      <c r="E6" s="23"/>
      <c r="F6" s="23"/>
    </row>
    <row r="7" spans="1:6" ht="30">
      <c r="A7" s="23"/>
      <c r="B7" s="23" t="s">
        <v>47</v>
      </c>
      <c r="C7" s="23" t="s">
        <v>48</v>
      </c>
      <c r="D7" s="23" t="s">
        <v>47</v>
      </c>
      <c r="E7" s="23" t="s">
        <v>48</v>
      </c>
      <c r="F7" s="23"/>
    </row>
    <row r="8" spans="1:6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</row>
    <row r="9" spans="1:6" ht="24.6" customHeight="1">
      <c r="A9" s="87" t="s">
        <v>38</v>
      </c>
      <c r="B9" s="87"/>
      <c r="C9" s="87"/>
      <c r="D9" s="87"/>
      <c r="E9" s="87"/>
      <c r="F9" s="87"/>
    </row>
    <row r="10" spans="1:6">
      <c r="A10" s="91" t="s">
        <v>1</v>
      </c>
      <c r="B10" s="92"/>
      <c r="C10" s="92"/>
      <c r="D10" s="92"/>
      <c r="E10" s="92"/>
      <c r="F10" s="93"/>
    </row>
    <row r="11" spans="1:6">
      <c r="A11" s="22" t="s">
        <v>6</v>
      </c>
      <c r="B11" s="22">
        <v>49</v>
      </c>
      <c r="C11" s="22">
        <v>0</v>
      </c>
      <c r="D11" s="24">
        <v>23420</v>
      </c>
      <c r="E11" s="22">
        <v>0</v>
      </c>
      <c r="F11" s="24">
        <v>-23420</v>
      </c>
    </row>
    <row r="12" spans="1:6">
      <c r="A12" s="22" t="s">
        <v>7</v>
      </c>
      <c r="B12" s="22">
        <v>694</v>
      </c>
      <c r="C12" s="22">
        <v>958</v>
      </c>
      <c r="D12" s="24">
        <v>264831</v>
      </c>
      <c r="E12" s="24">
        <v>407847</v>
      </c>
      <c r="F12" s="24">
        <v>143016</v>
      </c>
    </row>
    <row r="13" spans="1:6">
      <c r="A13" s="22" t="s">
        <v>8</v>
      </c>
      <c r="B13" s="22">
        <v>545</v>
      </c>
      <c r="C13" s="22">
        <v>483</v>
      </c>
      <c r="D13" s="24">
        <v>222643</v>
      </c>
      <c r="E13" s="24">
        <v>141250</v>
      </c>
      <c r="F13" s="24">
        <v>-81393</v>
      </c>
    </row>
    <row r="14" spans="1:6">
      <c r="A14" s="22" t="s">
        <v>9</v>
      </c>
      <c r="B14" s="22">
        <v>0</v>
      </c>
      <c r="C14" s="22">
        <v>85</v>
      </c>
      <c r="D14" s="22">
        <v>0</v>
      </c>
      <c r="E14" s="24">
        <v>64000</v>
      </c>
      <c r="F14" s="24">
        <v>64000</v>
      </c>
    </row>
    <row r="15" spans="1:6">
      <c r="A15" s="22" t="s">
        <v>29</v>
      </c>
      <c r="B15" s="22">
        <v>1672</v>
      </c>
      <c r="C15" s="22">
        <v>1999</v>
      </c>
      <c r="D15" s="24">
        <v>605617.29</v>
      </c>
      <c r="E15" s="24">
        <v>845317.49</v>
      </c>
      <c r="F15" s="24">
        <v>239700.2</v>
      </c>
    </row>
    <row r="16" spans="1:6">
      <c r="A16" s="22" t="s">
        <v>10</v>
      </c>
      <c r="B16" s="22">
        <v>464</v>
      </c>
      <c r="C16" s="22">
        <v>893</v>
      </c>
      <c r="D16" s="24">
        <v>62588</v>
      </c>
      <c r="E16" s="24">
        <v>340918</v>
      </c>
      <c r="F16" s="24">
        <v>278330</v>
      </c>
    </row>
    <row r="17" spans="1:6" ht="23.45" customHeight="1">
      <c r="A17" s="22" t="s">
        <v>39</v>
      </c>
      <c r="B17" s="22">
        <v>368</v>
      </c>
      <c r="C17" s="22">
        <v>1830</v>
      </c>
      <c r="D17" s="24">
        <v>194394</v>
      </c>
      <c r="E17" s="24">
        <v>176857</v>
      </c>
      <c r="F17" s="24">
        <v>-17537</v>
      </c>
    </row>
    <row r="18" spans="1:6">
      <c r="A18" s="22" t="s">
        <v>11</v>
      </c>
      <c r="B18" s="22">
        <v>339</v>
      </c>
      <c r="C18" s="22">
        <v>279</v>
      </c>
      <c r="D18" s="24">
        <v>105991</v>
      </c>
      <c r="E18" s="24">
        <v>94200</v>
      </c>
      <c r="F18" s="24">
        <v>-11791</v>
      </c>
    </row>
    <row r="19" spans="1:6">
      <c r="A19" s="22" t="s">
        <v>12</v>
      </c>
      <c r="B19" s="22">
        <v>71</v>
      </c>
      <c r="C19" s="22">
        <v>55</v>
      </c>
      <c r="D19" s="24">
        <v>39796</v>
      </c>
      <c r="E19" s="24">
        <v>50709</v>
      </c>
      <c r="F19" s="24">
        <v>10913</v>
      </c>
    </row>
    <row r="20" spans="1:6">
      <c r="A20" s="30" t="s">
        <v>33</v>
      </c>
      <c r="B20" s="30">
        <v>4202</v>
      </c>
      <c r="C20" s="30">
        <v>6582</v>
      </c>
      <c r="D20" s="32">
        <v>1519280.29</v>
      </c>
      <c r="E20" s="32">
        <v>2121098.4900000002</v>
      </c>
      <c r="F20" s="32">
        <v>601818.19999999995</v>
      </c>
    </row>
    <row r="21" spans="1:6">
      <c r="A21" s="91" t="s">
        <v>13</v>
      </c>
      <c r="B21" s="92"/>
      <c r="C21" s="92"/>
      <c r="D21" s="92"/>
      <c r="E21" s="92"/>
      <c r="F21" s="93"/>
    </row>
    <row r="22" spans="1:6">
      <c r="A22" s="22" t="s">
        <v>14</v>
      </c>
      <c r="B22" s="22">
        <v>374</v>
      </c>
      <c r="C22" s="22">
        <v>384</v>
      </c>
      <c r="D22" s="24">
        <v>172282.74</v>
      </c>
      <c r="E22" s="24">
        <v>294937</v>
      </c>
      <c r="F22" s="24">
        <v>122654.26</v>
      </c>
    </row>
    <row r="23" spans="1:6">
      <c r="A23" s="22" t="s">
        <v>15</v>
      </c>
      <c r="B23" s="22">
        <v>69</v>
      </c>
      <c r="C23" s="22">
        <v>78</v>
      </c>
      <c r="D23" s="24">
        <v>120888.35</v>
      </c>
      <c r="E23" s="24">
        <v>139606.9</v>
      </c>
      <c r="F23" s="24">
        <v>18718.55</v>
      </c>
    </row>
    <row r="24" spans="1:6">
      <c r="A24" s="22" t="s">
        <v>16</v>
      </c>
      <c r="B24" s="22">
        <v>38</v>
      </c>
      <c r="C24" s="22">
        <v>53</v>
      </c>
      <c r="D24" s="24">
        <v>129640</v>
      </c>
      <c r="E24" s="24">
        <v>53555.199999999997</v>
      </c>
      <c r="F24" s="24">
        <f>E24-D24</f>
        <v>-76084.800000000003</v>
      </c>
    </row>
    <row r="25" spans="1:6">
      <c r="A25" s="22" t="s">
        <v>17</v>
      </c>
      <c r="B25" s="22">
        <v>173</v>
      </c>
      <c r="C25" s="22">
        <v>715</v>
      </c>
      <c r="D25" s="24">
        <v>306465</v>
      </c>
      <c r="E25" s="24">
        <v>444825.59999999998</v>
      </c>
      <c r="F25" s="24">
        <v>138360.6</v>
      </c>
    </row>
    <row r="26" spans="1:6">
      <c r="A26" s="22" t="s">
        <v>18</v>
      </c>
      <c r="B26" s="22">
        <v>18</v>
      </c>
      <c r="C26" s="22">
        <v>11</v>
      </c>
      <c r="D26" s="22">
        <v>0</v>
      </c>
      <c r="E26" s="22">
        <v>0</v>
      </c>
      <c r="F26" s="22">
        <v>0</v>
      </c>
    </row>
    <row r="27" spans="1:6">
      <c r="A27" s="22" t="s">
        <v>19</v>
      </c>
      <c r="B27" s="22">
        <v>90</v>
      </c>
      <c r="C27" s="22">
        <v>54</v>
      </c>
      <c r="D27" s="24">
        <v>17304.47</v>
      </c>
      <c r="E27" s="24">
        <v>6240.36</v>
      </c>
      <c r="F27" s="24">
        <v>-11064.11</v>
      </c>
    </row>
    <row r="28" spans="1:6" ht="30">
      <c r="A28" s="22" t="s">
        <v>20</v>
      </c>
      <c r="B28" s="22">
        <v>49</v>
      </c>
      <c r="C28" s="22">
        <v>66</v>
      </c>
      <c r="D28" s="24">
        <v>49836.84</v>
      </c>
      <c r="E28" s="24">
        <v>63739.87</v>
      </c>
      <c r="F28" s="24">
        <v>13903.03</v>
      </c>
    </row>
    <row r="29" spans="1:6">
      <c r="A29" s="22" t="s">
        <v>21</v>
      </c>
      <c r="B29" s="22">
        <v>17</v>
      </c>
      <c r="C29" s="22">
        <v>19</v>
      </c>
      <c r="D29" s="24">
        <v>25336</v>
      </c>
      <c r="E29" s="24">
        <v>31312</v>
      </c>
      <c r="F29" s="24">
        <v>5976</v>
      </c>
    </row>
    <row r="30" spans="1:6">
      <c r="A30" s="22" t="s">
        <v>22</v>
      </c>
      <c r="B30" s="22">
        <v>17</v>
      </c>
      <c r="C30" s="22">
        <v>0</v>
      </c>
      <c r="D30" s="24">
        <v>30600</v>
      </c>
      <c r="E30" s="22">
        <v>0</v>
      </c>
      <c r="F30" s="24">
        <v>-30600</v>
      </c>
    </row>
    <row r="31" spans="1:6">
      <c r="A31" s="22" t="s">
        <v>23</v>
      </c>
      <c r="B31" s="22">
        <v>11</v>
      </c>
      <c r="C31" s="22">
        <v>0</v>
      </c>
      <c r="D31" s="24">
        <v>3500</v>
      </c>
      <c r="E31" s="22">
        <v>0</v>
      </c>
      <c r="F31" s="24">
        <v>-3500</v>
      </c>
    </row>
    <row r="32" spans="1:6">
      <c r="A32" s="22" t="s">
        <v>24</v>
      </c>
      <c r="B32" s="22">
        <v>4</v>
      </c>
      <c r="C32" s="22">
        <v>29</v>
      </c>
      <c r="D32" s="24">
        <v>16400</v>
      </c>
      <c r="E32" s="24">
        <v>70650.2</v>
      </c>
      <c r="F32" s="24">
        <v>54250.2</v>
      </c>
    </row>
    <row r="33" spans="1:6">
      <c r="A33" s="30" t="s">
        <v>37</v>
      </c>
      <c r="B33" s="30">
        <v>860</v>
      </c>
      <c r="C33" s="30">
        <v>1409</v>
      </c>
      <c r="D33" s="32">
        <v>872253.4</v>
      </c>
      <c r="E33" s="32">
        <v>1104867.1299999999</v>
      </c>
      <c r="F33" s="32">
        <v>232613.73</v>
      </c>
    </row>
    <row r="34" spans="1:6">
      <c r="A34" s="91" t="s">
        <v>25</v>
      </c>
      <c r="B34" s="92"/>
      <c r="C34" s="92"/>
      <c r="D34" s="92"/>
      <c r="E34" s="92"/>
      <c r="F34" s="93"/>
    </row>
    <row r="35" spans="1:6">
      <c r="A35" s="22" t="s">
        <v>26</v>
      </c>
      <c r="B35" s="22">
        <v>66806</v>
      </c>
      <c r="C35" s="22">
        <v>88407</v>
      </c>
      <c r="D35" s="24">
        <v>4401242.34</v>
      </c>
      <c r="E35" s="24">
        <v>5587581.75</v>
      </c>
      <c r="F35" s="24">
        <v>1186339.4099999999</v>
      </c>
    </row>
    <row r="36" spans="1:6">
      <c r="A36" s="22" t="s">
        <v>27</v>
      </c>
      <c r="B36" s="22">
        <v>1146</v>
      </c>
      <c r="C36" s="22">
        <v>1094</v>
      </c>
      <c r="D36" s="24">
        <v>381637.72</v>
      </c>
      <c r="E36" s="24">
        <v>334246.15000000002</v>
      </c>
      <c r="F36" s="24">
        <v>-47391.57</v>
      </c>
    </row>
    <row r="37" spans="1:6">
      <c r="A37" s="22" t="s">
        <v>28</v>
      </c>
      <c r="B37" s="22">
        <v>74</v>
      </c>
      <c r="C37" s="22">
        <v>75</v>
      </c>
      <c r="D37" s="24">
        <v>331885.76</v>
      </c>
      <c r="E37" s="24">
        <v>276715.06</v>
      </c>
      <c r="F37" s="24">
        <v>-55170.7</v>
      </c>
    </row>
    <row r="38" spans="1:6" s="33" customFormat="1" ht="30">
      <c r="A38" s="30" t="s">
        <v>34</v>
      </c>
      <c r="B38" s="30">
        <v>68026</v>
      </c>
      <c r="C38" s="30">
        <v>89576</v>
      </c>
      <c r="D38" s="32">
        <v>5114765.82</v>
      </c>
      <c r="E38" s="32">
        <v>6198542.96</v>
      </c>
      <c r="F38" s="32">
        <v>1083777.1399999999</v>
      </c>
    </row>
    <row r="39" spans="1:6" s="33" customFormat="1" ht="30">
      <c r="A39" s="30" t="s">
        <v>35</v>
      </c>
      <c r="B39" s="30">
        <v>73088</v>
      </c>
      <c r="C39" s="30">
        <v>97567</v>
      </c>
      <c r="D39" s="32">
        <v>7506299.5099999998</v>
      </c>
      <c r="E39" s="32">
        <v>9424508.5800000001</v>
      </c>
      <c r="F39" s="32">
        <v>1918209.07</v>
      </c>
    </row>
    <row r="40" spans="1:6" s="33" customFormat="1" ht="32.450000000000003" customHeight="1">
      <c r="A40" s="88" t="s">
        <v>42</v>
      </c>
      <c r="B40" s="89"/>
      <c r="C40" s="89"/>
      <c r="D40" s="89"/>
      <c r="E40" s="89"/>
      <c r="F40" s="90"/>
    </row>
    <row r="41" spans="1:6">
      <c r="A41" s="22" t="s">
        <v>30</v>
      </c>
      <c r="B41" s="25">
        <v>11918</v>
      </c>
      <c r="C41" s="25">
        <v>6961</v>
      </c>
      <c r="D41" s="24">
        <v>3702146.04</v>
      </c>
      <c r="E41" s="24">
        <v>2615094.09</v>
      </c>
      <c r="F41" s="24">
        <v>-1087051.95</v>
      </c>
    </row>
    <row r="42" spans="1:6" ht="30">
      <c r="A42" s="22" t="s">
        <v>32</v>
      </c>
      <c r="B42" s="22">
        <v>2088</v>
      </c>
      <c r="C42" s="22">
        <v>8116</v>
      </c>
      <c r="D42" s="24">
        <v>1066935</v>
      </c>
      <c r="E42" s="24">
        <v>1726485</v>
      </c>
      <c r="F42" s="24">
        <v>659550</v>
      </c>
    </row>
    <row r="43" spans="1:6">
      <c r="A43" s="22" t="s">
        <v>3</v>
      </c>
      <c r="B43" s="25">
        <v>1505</v>
      </c>
      <c r="C43" s="25">
        <v>2739</v>
      </c>
      <c r="D43" s="24">
        <v>132362</v>
      </c>
      <c r="E43" s="24">
        <v>252575</v>
      </c>
      <c r="F43" s="24">
        <v>120213</v>
      </c>
    </row>
    <row r="44" spans="1:6">
      <c r="A44" s="22" t="s">
        <v>4</v>
      </c>
      <c r="B44" s="25">
        <v>3357</v>
      </c>
      <c r="C44" s="25">
        <v>3831</v>
      </c>
      <c r="D44" s="24">
        <v>399650</v>
      </c>
      <c r="E44" s="24">
        <v>663110</v>
      </c>
      <c r="F44" s="24">
        <v>263460</v>
      </c>
    </row>
    <row r="45" spans="1:6">
      <c r="A45" s="22" t="s">
        <v>31</v>
      </c>
      <c r="B45" s="22">
        <v>10</v>
      </c>
      <c r="C45" s="22">
        <v>6</v>
      </c>
      <c r="D45" s="24">
        <v>46000</v>
      </c>
      <c r="E45" s="24">
        <v>16500</v>
      </c>
      <c r="F45" s="24">
        <v>-29500</v>
      </c>
    </row>
    <row r="46" spans="1:6">
      <c r="A46" s="22" t="s">
        <v>2</v>
      </c>
      <c r="B46" s="22">
        <v>751</v>
      </c>
      <c r="C46" s="22">
        <v>844</v>
      </c>
      <c r="D46" s="24">
        <v>384020</v>
      </c>
      <c r="E46" s="24">
        <v>683330</v>
      </c>
      <c r="F46" s="24">
        <v>299310</v>
      </c>
    </row>
    <row r="47" spans="1:6">
      <c r="A47" s="22" t="s">
        <v>5</v>
      </c>
      <c r="B47" s="25">
        <v>11377</v>
      </c>
      <c r="C47" s="25">
        <v>7710</v>
      </c>
      <c r="D47" s="24">
        <v>2370050</v>
      </c>
      <c r="E47" s="24">
        <v>2440935</v>
      </c>
      <c r="F47" s="24">
        <v>70885</v>
      </c>
    </row>
    <row r="48" spans="1:6" s="33" customFormat="1" ht="30">
      <c r="A48" s="30" t="s">
        <v>43</v>
      </c>
      <c r="B48" s="31">
        <v>31006</v>
      </c>
      <c r="C48" s="31">
        <v>30207</v>
      </c>
      <c r="D48" s="32">
        <v>8101163.04</v>
      </c>
      <c r="E48" s="32">
        <v>8398029.0899999999</v>
      </c>
      <c r="F48" s="32">
        <v>296866.05</v>
      </c>
    </row>
    <row r="49" spans="1:6" s="29" customFormat="1">
      <c r="A49" s="26" t="s">
        <v>36</v>
      </c>
      <c r="B49" s="27">
        <v>104094</v>
      </c>
      <c r="C49" s="27">
        <v>127774</v>
      </c>
      <c r="D49" s="28">
        <v>15607462.550000001</v>
      </c>
      <c r="E49" s="28">
        <v>17822537.670000002</v>
      </c>
      <c r="F49" s="28">
        <v>2215075.12</v>
      </c>
    </row>
  </sheetData>
  <mergeCells count="8">
    <mergeCell ref="D5:E5"/>
    <mergeCell ref="B5:C5"/>
    <mergeCell ref="A3:F4"/>
    <mergeCell ref="A9:F9"/>
    <mergeCell ref="A40:F40"/>
    <mergeCell ref="A10:F10"/>
    <mergeCell ref="A21:F21"/>
    <mergeCell ref="A34:F3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4"/>
  <dimension ref="A1:G54"/>
  <sheetViews>
    <sheetView view="pageBreakPreview" zoomScale="90" zoomScaleSheetLayoutView="90" workbookViewId="0">
      <selection activeCell="E35" sqref="E35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16384" width="9.140625" style="13"/>
  </cols>
  <sheetData>
    <row r="1" spans="1:6" ht="7.15" customHeight="1">
      <c r="A1" s="60"/>
      <c r="B1" s="60"/>
      <c r="C1" s="60"/>
      <c r="D1" s="60"/>
      <c r="E1" s="60"/>
      <c r="F1" s="60"/>
    </row>
    <row r="2" spans="1:6" ht="7.5" customHeight="1">
      <c r="A2" s="37"/>
    </row>
    <row r="3" spans="1:6" ht="4.5" hidden="1" customHeight="1">
      <c r="A3" s="37"/>
    </row>
    <row r="4" spans="1:6" ht="51" customHeight="1">
      <c r="A4" s="61" t="s">
        <v>52</v>
      </c>
      <c r="B4" s="61"/>
      <c r="C4" s="61"/>
      <c r="D4" s="61"/>
      <c r="E4" s="61"/>
      <c r="F4" s="61"/>
    </row>
    <row r="5" spans="1:6" ht="19.5" customHeight="1">
      <c r="A5" s="62"/>
      <c r="B5" s="62"/>
      <c r="C5" s="62"/>
      <c r="D5" s="62"/>
      <c r="E5" s="62"/>
      <c r="F5" s="62"/>
    </row>
    <row r="6" spans="1:6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53</v>
      </c>
    </row>
    <row r="7" spans="1:6" ht="21.75" customHeight="1">
      <c r="A7" s="63"/>
      <c r="B7" s="66"/>
      <c r="C7" s="67"/>
      <c r="D7" s="66"/>
      <c r="E7" s="67"/>
      <c r="F7" s="63"/>
    </row>
    <row r="8" spans="1:6" ht="21.75" customHeight="1">
      <c r="A8" s="63"/>
      <c r="B8" s="38" t="s">
        <v>54</v>
      </c>
      <c r="C8" s="38" t="s">
        <v>55</v>
      </c>
      <c r="D8" s="38" t="s">
        <v>54</v>
      </c>
      <c r="E8" s="38" t="s">
        <v>55</v>
      </c>
      <c r="F8" s="63"/>
    </row>
    <row r="9" spans="1:6" ht="15" customHeight="1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</row>
    <row r="10" spans="1:6" ht="21.75" customHeight="1">
      <c r="A10" s="70" t="s">
        <v>38</v>
      </c>
      <c r="B10" s="71"/>
      <c r="C10" s="71"/>
      <c r="D10" s="71"/>
      <c r="E10" s="71"/>
      <c r="F10" s="72"/>
    </row>
    <row r="11" spans="1:6" ht="16.5" customHeight="1">
      <c r="A11" s="70" t="s">
        <v>1</v>
      </c>
      <c r="B11" s="71"/>
      <c r="C11" s="71"/>
      <c r="D11" s="71"/>
      <c r="E11" s="71"/>
      <c r="F11" s="72"/>
    </row>
    <row r="12" spans="1:6" ht="24" customHeight="1">
      <c r="A12" s="1" t="s">
        <v>7</v>
      </c>
      <c r="B12" s="38">
        <v>173</v>
      </c>
      <c r="C12" s="38">
        <v>420</v>
      </c>
      <c r="D12" s="2">
        <v>94321</v>
      </c>
      <c r="E12" s="2">
        <v>115680</v>
      </c>
      <c r="F12" s="2">
        <f t="shared" ref="F12:F13" si="0">E12-D12</f>
        <v>21359</v>
      </c>
    </row>
    <row r="13" spans="1:6" ht="24" customHeight="1">
      <c r="A13" s="1" t="s">
        <v>8</v>
      </c>
      <c r="B13" s="38">
        <v>99</v>
      </c>
      <c r="C13" s="38">
        <v>66</v>
      </c>
      <c r="D13" s="2">
        <v>76555</v>
      </c>
      <c r="E13" s="2">
        <v>42625</v>
      </c>
      <c r="F13" s="2">
        <f t="shared" si="0"/>
        <v>-33930</v>
      </c>
    </row>
    <row r="14" spans="1:6" ht="24" customHeight="1">
      <c r="A14" s="1" t="s">
        <v>9</v>
      </c>
      <c r="B14" s="38">
        <v>0</v>
      </c>
      <c r="C14" s="38">
        <v>85</v>
      </c>
      <c r="D14" s="2">
        <v>0</v>
      </c>
      <c r="E14" s="2">
        <v>30228</v>
      </c>
      <c r="F14" s="2">
        <f>E14-D14</f>
        <v>30228</v>
      </c>
    </row>
    <row r="15" spans="1:6" ht="24" customHeight="1">
      <c r="A15" s="1" t="s">
        <v>29</v>
      </c>
      <c r="B15" s="38">
        <v>505</v>
      </c>
      <c r="C15" s="38">
        <v>521</v>
      </c>
      <c r="D15" s="2">
        <v>298709.76000000001</v>
      </c>
      <c r="E15" s="2">
        <v>395011</v>
      </c>
      <c r="F15" s="2">
        <f t="shared" ref="F15:F19" si="1">E15-D15</f>
        <v>96301.239999999991</v>
      </c>
    </row>
    <row r="16" spans="1:6" ht="24" customHeight="1">
      <c r="A16" s="1" t="s">
        <v>10</v>
      </c>
      <c r="B16" s="39">
        <v>126</v>
      </c>
      <c r="C16" s="39">
        <v>271</v>
      </c>
      <c r="D16" s="2">
        <v>29023</v>
      </c>
      <c r="E16" s="2">
        <v>108413</v>
      </c>
      <c r="F16" s="2">
        <f t="shared" si="1"/>
        <v>79390</v>
      </c>
    </row>
    <row r="17" spans="1:6" ht="34.15" customHeight="1">
      <c r="A17" s="1" t="s">
        <v>39</v>
      </c>
      <c r="B17" s="38">
        <v>68</v>
      </c>
      <c r="C17" s="38">
        <v>143</v>
      </c>
      <c r="D17" s="2">
        <v>24767</v>
      </c>
      <c r="E17" s="2">
        <v>59771</v>
      </c>
      <c r="F17" s="2">
        <f t="shared" si="1"/>
        <v>35004</v>
      </c>
    </row>
    <row r="18" spans="1:6" ht="24" customHeight="1">
      <c r="A18" s="1" t="s">
        <v>11</v>
      </c>
      <c r="B18" s="38">
        <v>112</v>
      </c>
      <c r="C18" s="38">
        <v>107</v>
      </c>
      <c r="D18" s="2">
        <v>48231</v>
      </c>
      <c r="E18" s="2">
        <v>45683</v>
      </c>
      <c r="F18" s="2">
        <f t="shared" si="1"/>
        <v>-2548</v>
      </c>
    </row>
    <row r="19" spans="1:6" ht="24" customHeight="1">
      <c r="A19" s="1" t="s">
        <v>12</v>
      </c>
      <c r="B19" s="38">
        <v>73</v>
      </c>
      <c r="C19" s="38">
        <v>55</v>
      </c>
      <c r="D19" s="2">
        <v>21934</v>
      </c>
      <c r="E19" s="2">
        <v>13066</v>
      </c>
      <c r="F19" s="2">
        <f t="shared" si="1"/>
        <v>-8868</v>
      </c>
    </row>
    <row r="20" spans="1:6" ht="24" customHeight="1">
      <c r="A20" s="3" t="s">
        <v>33</v>
      </c>
      <c r="B20" s="14">
        <f>SUM(B12:B19)</f>
        <v>1156</v>
      </c>
      <c r="C20" s="14">
        <f>SUM(C12:C19)</f>
        <v>1668</v>
      </c>
      <c r="D20" s="7">
        <f>SUM(D12:D19)</f>
        <v>593540.76</v>
      </c>
      <c r="E20" s="7">
        <f>SUM(E12:E19)</f>
        <v>810477</v>
      </c>
      <c r="F20" s="7">
        <f>SUM(F12:F19)</f>
        <v>216936.24</v>
      </c>
    </row>
    <row r="21" spans="1:6" ht="24" customHeight="1">
      <c r="A21" s="73" t="s">
        <v>13</v>
      </c>
      <c r="B21" s="74"/>
      <c r="C21" s="74"/>
      <c r="D21" s="74"/>
      <c r="E21" s="74"/>
      <c r="F21" s="75"/>
    </row>
    <row r="22" spans="1:6" ht="24" customHeight="1">
      <c r="A22" s="1" t="s">
        <v>14</v>
      </c>
      <c r="B22" s="38">
        <v>0</v>
      </c>
      <c r="C22" s="38">
        <v>97</v>
      </c>
      <c r="D22" s="2">
        <v>0</v>
      </c>
      <c r="E22" s="2">
        <v>36734</v>
      </c>
      <c r="F22" s="2">
        <f t="shared" ref="F22:F24" si="2">E22-D22</f>
        <v>36734</v>
      </c>
    </row>
    <row r="23" spans="1:6" ht="24" customHeight="1">
      <c r="A23" s="1" t="s">
        <v>15</v>
      </c>
      <c r="B23" s="38">
        <v>69</v>
      </c>
      <c r="C23" s="38">
        <v>80</v>
      </c>
      <c r="D23" s="2">
        <v>39233.35</v>
      </c>
      <c r="E23" s="2">
        <v>83772.7</v>
      </c>
      <c r="F23" s="2">
        <f t="shared" si="2"/>
        <v>44539.35</v>
      </c>
    </row>
    <row r="24" spans="1:6" ht="24" customHeight="1">
      <c r="A24" s="1" t="s">
        <v>16</v>
      </c>
      <c r="B24" s="38">
        <v>0</v>
      </c>
      <c r="C24" s="38">
        <v>10</v>
      </c>
      <c r="D24" s="2">
        <v>0</v>
      </c>
      <c r="E24" s="2">
        <v>29513.599999999999</v>
      </c>
      <c r="F24" s="2">
        <f t="shared" si="2"/>
        <v>29513.599999999999</v>
      </c>
    </row>
    <row r="25" spans="1:6" ht="24" customHeight="1">
      <c r="A25" s="1" t="s">
        <v>17</v>
      </c>
      <c r="B25" s="38">
        <v>0</v>
      </c>
      <c r="C25" s="38">
        <v>0</v>
      </c>
      <c r="D25" s="2">
        <v>0</v>
      </c>
      <c r="E25" s="2">
        <v>0</v>
      </c>
      <c r="F25" s="2">
        <f>E25-D25</f>
        <v>0</v>
      </c>
    </row>
    <row r="26" spans="1:6" ht="24" customHeight="1">
      <c r="A26" s="1" t="s">
        <v>18</v>
      </c>
      <c r="B26" s="38">
        <v>18</v>
      </c>
      <c r="C26" s="38">
        <v>11</v>
      </c>
      <c r="D26" s="2">
        <v>9500</v>
      </c>
      <c r="E26" s="2">
        <v>3040</v>
      </c>
      <c r="F26" s="2">
        <f t="shared" ref="F26:F32" si="3">E26-D26</f>
        <v>-6460</v>
      </c>
    </row>
    <row r="27" spans="1:6" ht="24" customHeight="1">
      <c r="A27" s="1" t="s">
        <v>19</v>
      </c>
      <c r="B27" s="38">
        <v>11</v>
      </c>
      <c r="C27" s="38">
        <v>17</v>
      </c>
      <c r="D27" s="2">
        <v>1677.39</v>
      </c>
      <c r="E27" s="2">
        <v>4291.6099999999997</v>
      </c>
      <c r="F27" s="2">
        <f t="shared" si="3"/>
        <v>2614.2199999999993</v>
      </c>
    </row>
    <row r="28" spans="1:6" ht="24" customHeight="1">
      <c r="A28" s="1" t="s">
        <v>20</v>
      </c>
      <c r="B28" s="38">
        <v>47</v>
      </c>
      <c r="C28" s="38">
        <v>62</v>
      </c>
      <c r="D28" s="2">
        <v>7063.22</v>
      </c>
      <c r="E28" s="2">
        <v>20108.02</v>
      </c>
      <c r="F28" s="2">
        <f t="shared" si="3"/>
        <v>13044.8</v>
      </c>
    </row>
    <row r="29" spans="1:6" ht="24" customHeight="1">
      <c r="A29" s="1" t="s">
        <v>21</v>
      </c>
      <c r="B29" s="38">
        <v>0</v>
      </c>
      <c r="C29" s="38">
        <v>0</v>
      </c>
      <c r="D29" s="2">
        <v>0</v>
      </c>
      <c r="E29" s="2">
        <v>0</v>
      </c>
      <c r="F29" s="2">
        <f t="shared" si="3"/>
        <v>0</v>
      </c>
    </row>
    <row r="30" spans="1:6" ht="24" customHeight="1">
      <c r="A30" s="1" t="s">
        <v>22</v>
      </c>
      <c r="B30" s="38">
        <v>0</v>
      </c>
      <c r="C30" s="38">
        <v>0</v>
      </c>
      <c r="D30" s="2">
        <v>0</v>
      </c>
      <c r="E30" s="2">
        <v>0</v>
      </c>
      <c r="F30" s="2">
        <f t="shared" si="3"/>
        <v>0</v>
      </c>
    </row>
    <row r="31" spans="1:6" ht="24" customHeight="1">
      <c r="A31" s="1" t="s">
        <v>23</v>
      </c>
      <c r="B31" s="38">
        <v>0</v>
      </c>
      <c r="C31" s="38">
        <v>0</v>
      </c>
      <c r="D31" s="2">
        <v>0</v>
      </c>
      <c r="E31" s="2">
        <v>0</v>
      </c>
      <c r="F31" s="2">
        <f t="shared" si="3"/>
        <v>0</v>
      </c>
    </row>
    <row r="32" spans="1:6" ht="24" customHeight="1">
      <c r="A32" s="1" t="s">
        <v>24</v>
      </c>
      <c r="B32" s="38">
        <v>0</v>
      </c>
      <c r="C32" s="38">
        <v>27</v>
      </c>
      <c r="D32" s="2">
        <v>0</v>
      </c>
      <c r="E32" s="2">
        <v>21120</v>
      </c>
      <c r="F32" s="2">
        <f t="shared" si="3"/>
        <v>21120</v>
      </c>
    </row>
    <row r="33" spans="1:6" ht="24" customHeight="1">
      <c r="A33" s="3" t="s">
        <v>37</v>
      </c>
      <c r="B33" s="14">
        <f t="shared" ref="B33:F33" si="4">SUM(B22:B32)</f>
        <v>145</v>
      </c>
      <c r="C33" s="14">
        <f t="shared" si="4"/>
        <v>304</v>
      </c>
      <c r="D33" s="7">
        <f t="shared" si="4"/>
        <v>57473.96</v>
      </c>
      <c r="E33" s="7">
        <f t="shared" si="4"/>
        <v>198579.92999999996</v>
      </c>
      <c r="F33" s="7">
        <f t="shared" si="4"/>
        <v>141105.97000000003</v>
      </c>
    </row>
    <row r="34" spans="1:6" ht="24" customHeight="1">
      <c r="A34" s="76" t="s">
        <v>25</v>
      </c>
      <c r="B34" s="77"/>
      <c r="C34" s="77"/>
      <c r="D34" s="77"/>
      <c r="E34" s="77"/>
      <c r="F34" s="78"/>
    </row>
    <row r="35" spans="1:6" ht="24" customHeight="1">
      <c r="A35" s="1" t="s">
        <v>26</v>
      </c>
      <c r="B35" s="38">
        <v>25960</v>
      </c>
      <c r="C35" s="38">
        <v>40295</v>
      </c>
      <c r="D35" s="2">
        <v>1774598.2</v>
      </c>
      <c r="E35" s="2">
        <v>2471130.75</v>
      </c>
      <c r="F35" s="2">
        <f>E35-D35</f>
        <v>696532.55</v>
      </c>
    </row>
    <row r="36" spans="1:6" ht="24" customHeight="1">
      <c r="A36" s="1" t="s">
        <v>27</v>
      </c>
      <c r="B36" s="38">
        <v>732</v>
      </c>
      <c r="C36" s="38">
        <v>660</v>
      </c>
      <c r="D36" s="2">
        <v>237653.34</v>
      </c>
      <c r="E36" s="2">
        <v>271898.06</v>
      </c>
      <c r="F36" s="2">
        <f>E36-D36</f>
        <v>34244.720000000001</v>
      </c>
    </row>
    <row r="37" spans="1:6" ht="24" customHeight="1">
      <c r="A37" s="34" t="s">
        <v>28</v>
      </c>
      <c r="B37" s="38">
        <v>24</v>
      </c>
      <c r="C37" s="38">
        <v>28</v>
      </c>
      <c r="D37" s="2">
        <v>73428</v>
      </c>
      <c r="E37" s="2">
        <v>72974</v>
      </c>
      <c r="F37" s="2">
        <f>E37-D37</f>
        <v>-454</v>
      </c>
    </row>
    <row r="38" spans="1:6" ht="31.5">
      <c r="A38" s="3" t="s">
        <v>34</v>
      </c>
      <c r="B38" s="14">
        <f>SUM(B35:B37)</f>
        <v>26716</v>
      </c>
      <c r="C38" s="14">
        <f>SUM(C35:C37)</f>
        <v>40983</v>
      </c>
      <c r="D38" s="7">
        <f>SUM(D35:D37)</f>
        <v>2085679.54</v>
      </c>
      <c r="E38" s="7">
        <f>SUM(E35:E37)</f>
        <v>2816002.81</v>
      </c>
      <c r="F38" s="7">
        <f>SUM(F35:F37)</f>
        <v>730323.27</v>
      </c>
    </row>
    <row r="39" spans="1:6" ht="31.5">
      <c r="A39" s="4" t="s">
        <v>35</v>
      </c>
      <c r="B39" s="14">
        <f>B20+B33+B38</f>
        <v>28017</v>
      </c>
      <c r="C39" s="14">
        <f>C20+C33+C38</f>
        <v>42955</v>
      </c>
      <c r="D39" s="7">
        <f>D20+D33+D38</f>
        <v>2736694.26</v>
      </c>
      <c r="E39" s="7">
        <f>E20+E33+E38</f>
        <v>3825059.74</v>
      </c>
      <c r="F39" s="7">
        <f>F20+F33+F38</f>
        <v>1088365.48</v>
      </c>
    </row>
    <row r="40" spans="1:6" ht="24" customHeight="1">
      <c r="A40" s="70" t="s">
        <v>42</v>
      </c>
      <c r="B40" s="71"/>
      <c r="C40" s="71"/>
      <c r="D40" s="71"/>
      <c r="E40" s="71"/>
      <c r="F40" s="72"/>
    </row>
    <row r="41" spans="1:6" ht="24" customHeight="1">
      <c r="A41" s="1" t="s">
        <v>30</v>
      </c>
      <c r="B41" s="5">
        <v>3369</v>
      </c>
      <c r="C41" s="5">
        <v>2656</v>
      </c>
      <c r="D41" s="2">
        <v>1218575.83</v>
      </c>
      <c r="E41" s="2">
        <v>935644.29</v>
      </c>
      <c r="F41" s="2">
        <f>E41-D41</f>
        <v>-282931.54000000004</v>
      </c>
    </row>
    <row r="42" spans="1:6" ht="24" customHeight="1">
      <c r="A42" s="1" t="s">
        <v>32</v>
      </c>
      <c r="B42" s="38">
        <v>181</v>
      </c>
      <c r="C42" s="38">
        <v>1038</v>
      </c>
      <c r="D42" s="2">
        <v>392860</v>
      </c>
      <c r="E42" s="2">
        <v>426490</v>
      </c>
      <c r="F42" s="2">
        <f t="shared" ref="F42:F47" si="5">E42-D42</f>
        <v>33630</v>
      </c>
    </row>
    <row r="43" spans="1:6" ht="24" customHeight="1">
      <c r="A43" s="1" t="s">
        <v>3</v>
      </c>
      <c r="B43" s="5">
        <v>680</v>
      </c>
      <c r="C43" s="5">
        <v>460</v>
      </c>
      <c r="D43" s="2">
        <v>71787</v>
      </c>
      <c r="E43" s="2">
        <v>45365</v>
      </c>
      <c r="F43" s="2">
        <f t="shared" si="5"/>
        <v>-26422</v>
      </c>
    </row>
    <row r="44" spans="1:6" ht="24" customHeight="1">
      <c r="A44" s="1" t="s">
        <v>4</v>
      </c>
      <c r="B44" s="5">
        <v>1682</v>
      </c>
      <c r="C44" s="5">
        <v>1979</v>
      </c>
      <c r="D44" s="2">
        <v>135000</v>
      </c>
      <c r="E44" s="2">
        <v>142100</v>
      </c>
      <c r="F44" s="2">
        <f t="shared" si="5"/>
        <v>7100</v>
      </c>
    </row>
    <row r="45" spans="1:6" ht="24" customHeight="1">
      <c r="A45" s="1" t="s">
        <v>31</v>
      </c>
      <c r="B45" s="5">
        <v>1</v>
      </c>
      <c r="C45" s="5">
        <v>47</v>
      </c>
      <c r="D45" s="2">
        <v>5500</v>
      </c>
      <c r="E45" s="2">
        <v>6500</v>
      </c>
      <c r="F45" s="2">
        <f t="shared" si="5"/>
        <v>1000</v>
      </c>
    </row>
    <row r="46" spans="1:6" ht="24" customHeight="1">
      <c r="A46" s="1" t="s">
        <v>2</v>
      </c>
      <c r="B46" s="38">
        <v>149</v>
      </c>
      <c r="C46" s="38">
        <v>298</v>
      </c>
      <c r="D46" s="2">
        <v>152240</v>
      </c>
      <c r="E46" s="2">
        <v>395270</v>
      </c>
      <c r="F46" s="2">
        <f t="shared" si="5"/>
        <v>243030</v>
      </c>
    </row>
    <row r="47" spans="1:6" ht="24" customHeight="1">
      <c r="A47" s="1" t="s">
        <v>5</v>
      </c>
      <c r="B47" s="5">
        <v>9496</v>
      </c>
      <c r="C47" s="5">
        <v>2836</v>
      </c>
      <c r="D47" s="2">
        <v>1458050</v>
      </c>
      <c r="E47" s="2">
        <v>556000</v>
      </c>
      <c r="F47" s="2">
        <f t="shared" si="5"/>
        <v>-902050</v>
      </c>
    </row>
    <row r="48" spans="1:6" ht="32.450000000000003" customHeight="1">
      <c r="A48" s="6" t="s">
        <v>43</v>
      </c>
      <c r="B48" s="8">
        <f>SUM(B41:B47)</f>
        <v>15558</v>
      </c>
      <c r="C48" s="8">
        <f>SUM(C41:C47)</f>
        <v>9314</v>
      </c>
      <c r="D48" s="7">
        <f>SUM(D41:D47)</f>
        <v>3434012.83</v>
      </c>
      <c r="E48" s="7">
        <f>SUM(E41:E47)</f>
        <v>2507369.29</v>
      </c>
      <c r="F48" s="7">
        <f>SUM(F41:F47)</f>
        <v>-926643.54</v>
      </c>
    </row>
    <row r="49" spans="1:7" ht="42.6" customHeight="1">
      <c r="A49" s="4" t="s">
        <v>36</v>
      </c>
      <c r="B49" s="8">
        <f>B39+B48</f>
        <v>43575</v>
      </c>
      <c r="C49" s="8">
        <f>C39+C48</f>
        <v>52269</v>
      </c>
      <c r="D49" s="7">
        <f>D39+D48</f>
        <v>6170707.0899999999</v>
      </c>
      <c r="E49" s="7">
        <f t="shared" ref="E49:F49" si="6">E39+E48</f>
        <v>6332429.0300000003</v>
      </c>
      <c r="F49" s="7">
        <f t="shared" si="6"/>
        <v>161721.93999999994</v>
      </c>
    </row>
    <row r="50" spans="1:7" ht="22.9" customHeight="1">
      <c r="A50" s="9"/>
      <c r="B50" s="10"/>
      <c r="C50" s="10"/>
      <c r="D50" s="11"/>
      <c r="E50" s="12"/>
      <c r="F50" s="11"/>
    </row>
    <row r="51" spans="1:7" s="15" customFormat="1" ht="28.5" customHeight="1">
      <c r="A51" s="16"/>
      <c r="B51" s="13"/>
      <c r="C51" s="13"/>
      <c r="D51" s="13"/>
      <c r="E51" s="17"/>
      <c r="F51" s="13"/>
    </row>
    <row r="52" spans="1:7" ht="60.75" customHeight="1">
      <c r="A52" s="19"/>
      <c r="E52" s="17"/>
      <c r="G52" s="18"/>
    </row>
    <row r="53" spans="1:7">
      <c r="A53" s="69"/>
      <c r="B53" s="69"/>
      <c r="C53" s="69"/>
      <c r="D53" s="69"/>
      <c r="E53" s="69"/>
      <c r="F53" s="69"/>
    </row>
    <row r="54" spans="1:7" hidden="1"/>
  </sheetData>
  <mergeCells count="12">
    <mergeCell ref="A53:F53"/>
    <mergeCell ref="A1:F1"/>
    <mergeCell ref="A4:F5"/>
    <mergeCell ref="A6:A8"/>
    <mergeCell ref="B6:C7"/>
    <mergeCell ref="D6:E7"/>
    <mergeCell ref="F6:F8"/>
    <mergeCell ref="A10:F10"/>
    <mergeCell ref="A11:F11"/>
    <mergeCell ref="A21:F21"/>
    <mergeCell ref="A34:F34"/>
    <mergeCell ref="A40:F40"/>
  </mergeCells>
  <pageMargins left="0.78740157480314965" right="0" top="0.34" bottom="0.39370078740157483" header="0" footer="0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view="pageBreakPreview" zoomScale="110" zoomScaleSheetLayoutView="110" workbookViewId="0">
      <selection activeCell="E17" sqref="E17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5.42578125" style="13" customWidth="1"/>
    <col min="8" max="8" width="9.140625" style="13"/>
    <col min="9" max="9" width="15" style="13" customWidth="1"/>
    <col min="10" max="10" width="12.42578125" style="13" customWidth="1"/>
    <col min="11" max="11" width="21.42578125" style="13" customWidth="1"/>
    <col min="12" max="16384" width="9.140625" style="13"/>
  </cols>
  <sheetData>
    <row r="1" spans="1:9" ht="7.15" customHeight="1">
      <c r="A1" s="60"/>
      <c r="B1" s="60"/>
      <c r="C1" s="60"/>
      <c r="D1" s="60"/>
      <c r="E1" s="60"/>
      <c r="F1" s="60"/>
    </row>
    <row r="2" spans="1:9" ht="7.5" customHeight="1">
      <c r="A2" s="56"/>
    </row>
    <row r="3" spans="1:9" ht="4.5" hidden="1" customHeight="1">
      <c r="A3" s="56"/>
    </row>
    <row r="4" spans="1:9" ht="51" customHeight="1">
      <c r="A4" s="61" t="s">
        <v>82</v>
      </c>
      <c r="B4" s="61"/>
      <c r="C4" s="61"/>
      <c r="D4" s="61"/>
      <c r="E4" s="61"/>
      <c r="F4" s="61"/>
    </row>
    <row r="5" spans="1:9" ht="19.5" customHeight="1">
      <c r="A5" s="62"/>
      <c r="B5" s="62"/>
      <c r="C5" s="62"/>
      <c r="D5" s="62"/>
      <c r="E5" s="62"/>
      <c r="F5" s="62"/>
    </row>
    <row r="6" spans="1:9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85</v>
      </c>
    </row>
    <row r="7" spans="1:9" ht="21.75" customHeight="1">
      <c r="A7" s="63"/>
      <c r="B7" s="66"/>
      <c r="C7" s="67"/>
      <c r="D7" s="66"/>
      <c r="E7" s="67"/>
      <c r="F7" s="63"/>
    </row>
    <row r="8" spans="1:9" ht="21.75" customHeight="1">
      <c r="A8" s="63"/>
      <c r="B8" s="20" t="s">
        <v>83</v>
      </c>
      <c r="C8" s="20" t="s">
        <v>84</v>
      </c>
      <c r="D8" s="20" t="s">
        <v>83</v>
      </c>
      <c r="E8" s="20" t="s">
        <v>84</v>
      </c>
      <c r="F8" s="63"/>
    </row>
    <row r="9" spans="1:9" ht="15" customHeight="1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</row>
    <row r="10" spans="1:9" ht="21.75" customHeight="1">
      <c r="A10" s="70" t="s">
        <v>38</v>
      </c>
      <c r="B10" s="71"/>
      <c r="C10" s="71"/>
      <c r="D10" s="71"/>
      <c r="E10" s="71"/>
      <c r="F10" s="72"/>
    </row>
    <row r="11" spans="1:9" ht="16.5" customHeight="1">
      <c r="A11" s="70" t="s">
        <v>1</v>
      </c>
      <c r="B11" s="71"/>
      <c r="C11" s="71"/>
      <c r="D11" s="71"/>
      <c r="E11" s="71"/>
      <c r="F11" s="72"/>
    </row>
    <row r="12" spans="1:9" ht="24" customHeight="1">
      <c r="A12" s="1" t="s">
        <v>7</v>
      </c>
      <c r="B12" s="48">
        <f>1318+271</f>
        <v>1589</v>
      </c>
      <c r="C12" s="48">
        <f>2169+426</f>
        <v>2595</v>
      </c>
      <c r="D12" s="2">
        <f>640882+67331</f>
        <v>708213</v>
      </c>
      <c r="E12" s="2">
        <f>901270+150142</f>
        <v>1051412</v>
      </c>
      <c r="F12" s="2">
        <f>E12-D12</f>
        <v>343199</v>
      </c>
      <c r="G12" s="17"/>
      <c r="I12" s="17"/>
    </row>
    <row r="13" spans="1:9" ht="24" customHeight="1">
      <c r="A13" s="1" t="s">
        <v>8</v>
      </c>
      <c r="B13" s="57">
        <f>808+0+122</f>
        <v>930</v>
      </c>
      <c r="C13" s="57">
        <f>717+0+301</f>
        <v>1018</v>
      </c>
      <c r="D13" s="2">
        <f>422731+29744</f>
        <v>452475</v>
      </c>
      <c r="E13" s="2">
        <f>313770+3885</f>
        <v>317655</v>
      </c>
      <c r="F13" s="2">
        <f t="shared" ref="F13:F19" si="0">E13-D13</f>
        <v>-134820</v>
      </c>
      <c r="G13" s="17"/>
      <c r="I13" s="17"/>
    </row>
    <row r="14" spans="1:9" ht="24" customHeight="1">
      <c r="A14" s="1" t="s">
        <v>9</v>
      </c>
      <c r="B14" s="57">
        <f>0+0</f>
        <v>0</v>
      </c>
      <c r="C14" s="57">
        <f>319+155</f>
        <v>474</v>
      </c>
      <c r="D14" s="2">
        <v>0</v>
      </c>
      <c r="E14" s="2">
        <f>146153+21099</f>
        <v>167252</v>
      </c>
      <c r="F14" s="2">
        <f t="shared" si="0"/>
        <v>167252</v>
      </c>
      <c r="G14" s="17"/>
      <c r="I14" s="17"/>
    </row>
    <row r="15" spans="1:9" ht="24" customHeight="1">
      <c r="A15" s="1" t="s">
        <v>29</v>
      </c>
      <c r="B15" s="57">
        <f>2909+654</f>
        <v>3563</v>
      </c>
      <c r="C15" s="57">
        <f>3227+523</f>
        <v>3750</v>
      </c>
      <c r="D15" s="2">
        <f>1543413.32+125083</f>
        <v>1668496.32</v>
      </c>
      <c r="E15" s="2">
        <f>1976409.64+33870</f>
        <v>2010279.64</v>
      </c>
      <c r="F15" s="2">
        <f t="shared" si="0"/>
        <v>341783.31999999983</v>
      </c>
      <c r="G15" s="17"/>
      <c r="I15" s="17"/>
    </row>
    <row r="16" spans="1:9" ht="24" customHeight="1">
      <c r="A16" s="1" t="s">
        <v>10</v>
      </c>
      <c r="B16" s="39">
        <f>716+0</f>
        <v>716</v>
      </c>
      <c r="C16" s="39">
        <f>1428+0</f>
        <v>1428</v>
      </c>
      <c r="D16" s="2">
        <v>131128</v>
      </c>
      <c r="E16" s="2">
        <f>652143+5361</f>
        <v>657504</v>
      </c>
      <c r="F16" s="2">
        <f t="shared" si="0"/>
        <v>526376</v>
      </c>
      <c r="G16" s="17"/>
      <c r="I16" s="17"/>
    </row>
    <row r="17" spans="1:9" ht="34.15" customHeight="1">
      <c r="A17" s="1" t="s">
        <v>64</v>
      </c>
      <c r="B17" s="57">
        <f>323+297</f>
        <v>620</v>
      </c>
      <c r="C17" s="57">
        <f>733+0+109</f>
        <v>842</v>
      </c>
      <c r="D17" s="2">
        <f>127104+291706</f>
        <v>418810</v>
      </c>
      <c r="E17" s="2">
        <f>397643+77059</f>
        <v>474702</v>
      </c>
      <c r="F17" s="2">
        <f t="shared" si="0"/>
        <v>55892</v>
      </c>
      <c r="G17" s="17"/>
      <c r="I17" s="17"/>
    </row>
    <row r="18" spans="1:9" ht="24" customHeight="1">
      <c r="A18" s="1" t="s">
        <v>11</v>
      </c>
      <c r="B18" s="57">
        <f>630+108</f>
        <v>738</v>
      </c>
      <c r="C18" s="57">
        <f>613+146</f>
        <v>759</v>
      </c>
      <c r="D18" s="2">
        <f>241467+39008</f>
        <v>280475</v>
      </c>
      <c r="E18" s="2">
        <f>214494+35987</f>
        <v>250481</v>
      </c>
      <c r="F18" s="2">
        <f t="shared" si="0"/>
        <v>-29994</v>
      </c>
      <c r="G18" s="17"/>
      <c r="I18" s="17"/>
    </row>
    <row r="19" spans="1:9" ht="24" customHeight="1">
      <c r="A19" s="1" t="s">
        <v>12</v>
      </c>
      <c r="B19" s="57">
        <f>284+52</f>
        <v>336</v>
      </c>
      <c r="C19" s="57">
        <f>220+53</f>
        <v>273</v>
      </c>
      <c r="D19" s="2">
        <f>76629+1152</f>
        <v>77781</v>
      </c>
      <c r="E19" s="2">
        <f>84353+672</f>
        <v>85025</v>
      </c>
      <c r="F19" s="2">
        <f t="shared" si="0"/>
        <v>7244</v>
      </c>
      <c r="G19" s="17"/>
      <c r="I19" s="17"/>
    </row>
    <row r="20" spans="1:9" ht="24" customHeight="1">
      <c r="A20" s="3" t="s">
        <v>33</v>
      </c>
      <c r="B20" s="14">
        <f>SUM(B12:B19)</f>
        <v>8492</v>
      </c>
      <c r="C20" s="14">
        <f>SUM(C12:C19)</f>
        <v>11139</v>
      </c>
      <c r="D20" s="7">
        <f>SUM(D12:D19)</f>
        <v>3737378.3200000003</v>
      </c>
      <c r="E20" s="7">
        <f>SUM(E12:E19)</f>
        <v>5014310.6399999997</v>
      </c>
      <c r="F20" s="7">
        <f>SUM(F12:F19)</f>
        <v>1276932.3199999998</v>
      </c>
      <c r="G20" s="17"/>
      <c r="I20" s="17"/>
    </row>
    <row r="21" spans="1:9" ht="24" customHeight="1">
      <c r="A21" s="73" t="s">
        <v>13</v>
      </c>
      <c r="B21" s="74"/>
      <c r="C21" s="74"/>
      <c r="D21" s="74"/>
      <c r="E21" s="74"/>
      <c r="F21" s="75"/>
      <c r="G21" s="17"/>
      <c r="I21" s="17"/>
    </row>
    <row r="22" spans="1:9" ht="24" customHeight="1">
      <c r="A22" s="1" t="s">
        <v>14</v>
      </c>
      <c r="B22" s="57">
        <v>477</v>
      </c>
      <c r="C22" s="57">
        <f>641+18</f>
        <v>659</v>
      </c>
      <c r="D22" s="2">
        <v>371114.74</v>
      </c>
      <c r="E22" s="2">
        <f>402851+7524</f>
        <v>410375</v>
      </c>
      <c r="F22" s="2">
        <f>E22-D22</f>
        <v>39260.260000000009</v>
      </c>
      <c r="G22" s="17"/>
      <c r="I22" s="17"/>
    </row>
    <row r="23" spans="1:9" ht="24" customHeight="1">
      <c r="A23" s="1" t="s">
        <v>15</v>
      </c>
      <c r="B23" s="57">
        <v>69</v>
      </c>
      <c r="C23" s="57">
        <v>80</v>
      </c>
      <c r="D23" s="2">
        <f>247002.75+22926.05</f>
        <v>269928.8</v>
      </c>
      <c r="E23" s="2">
        <f>319689.8+417081</f>
        <v>736770.8</v>
      </c>
      <c r="F23" s="2">
        <f>E23-D23</f>
        <v>466842.00000000006</v>
      </c>
      <c r="G23" s="17"/>
      <c r="I23" s="17"/>
    </row>
    <row r="24" spans="1:9" ht="24" customHeight="1">
      <c r="A24" s="1" t="s">
        <v>16</v>
      </c>
      <c r="B24" s="57">
        <v>107</v>
      </c>
      <c r="C24" s="57">
        <v>54</v>
      </c>
      <c r="D24" s="2">
        <v>158180</v>
      </c>
      <c r="E24" s="2">
        <v>116611.2</v>
      </c>
      <c r="F24" s="2">
        <f t="shared" ref="F24:F32" si="1">E24-D24</f>
        <v>-41568.800000000003</v>
      </c>
      <c r="G24" s="17"/>
      <c r="I24" s="17"/>
    </row>
    <row r="25" spans="1:9" ht="24" customHeight="1">
      <c r="A25" s="1" t="s">
        <v>17</v>
      </c>
      <c r="B25" s="57">
        <v>176</v>
      </c>
      <c r="C25" s="57">
        <f>742+0+34</f>
        <v>776</v>
      </c>
      <c r="D25" s="2">
        <v>321484</v>
      </c>
      <c r="E25" s="2">
        <f>487318.8+112166</f>
        <v>599484.80000000005</v>
      </c>
      <c r="F25" s="2">
        <f t="shared" si="1"/>
        <v>278000.80000000005</v>
      </c>
      <c r="G25" s="17"/>
      <c r="I25" s="17"/>
    </row>
    <row r="26" spans="1:9" ht="24" customHeight="1">
      <c r="A26" s="1" t="s">
        <v>18</v>
      </c>
      <c r="B26" s="57">
        <v>18</v>
      </c>
      <c r="C26" s="57">
        <v>11</v>
      </c>
      <c r="D26" s="2">
        <v>28560</v>
      </c>
      <c r="E26" s="2">
        <v>31160</v>
      </c>
      <c r="F26" s="2">
        <f t="shared" si="1"/>
        <v>2600</v>
      </c>
      <c r="G26" s="17"/>
      <c r="I26" s="17"/>
    </row>
    <row r="27" spans="1:9" ht="24" customHeight="1">
      <c r="A27" s="1" t="s">
        <v>19</v>
      </c>
      <c r="B27" s="57">
        <f>134+16</f>
        <v>150</v>
      </c>
      <c r="C27" s="57">
        <f>90+25</f>
        <v>115</v>
      </c>
      <c r="D27" s="2">
        <f>25534.43+2439.84</f>
        <v>27974.27</v>
      </c>
      <c r="E27" s="2">
        <f>15622.79+6262.25</f>
        <v>21885.040000000001</v>
      </c>
      <c r="F27" s="2">
        <f t="shared" si="1"/>
        <v>-6089.23</v>
      </c>
      <c r="G27" s="17"/>
      <c r="I27" s="17"/>
    </row>
    <row r="28" spans="1:9" ht="24" customHeight="1">
      <c r="A28" s="1" t="s">
        <v>20</v>
      </c>
      <c r="B28" s="57">
        <f>49+64</f>
        <v>113</v>
      </c>
      <c r="C28" s="57">
        <f>66+52</f>
        <v>118</v>
      </c>
      <c r="D28" s="2">
        <f>75985.63+28608.78</f>
        <v>104594.41</v>
      </c>
      <c r="E28" s="2">
        <f>116293.87+24543.95</f>
        <v>140837.82</v>
      </c>
      <c r="F28" s="2">
        <f t="shared" si="1"/>
        <v>36243.410000000003</v>
      </c>
      <c r="G28" s="17"/>
      <c r="I28" s="17"/>
    </row>
    <row r="29" spans="1:9" ht="24" customHeight="1">
      <c r="A29" s="1" t="s">
        <v>21</v>
      </c>
      <c r="B29" s="57">
        <f>17+0</f>
        <v>17</v>
      </c>
      <c r="C29" s="57">
        <f>19+0</f>
        <v>19</v>
      </c>
      <c r="D29" s="2">
        <v>25336</v>
      </c>
      <c r="E29" s="2">
        <v>31312</v>
      </c>
      <c r="F29" s="2">
        <f t="shared" si="1"/>
        <v>5976</v>
      </c>
      <c r="G29" s="17"/>
      <c r="I29" s="17"/>
    </row>
    <row r="30" spans="1:9" ht="24" customHeight="1">
      <c r="A30" s="1" t="s">
        <v>22</v>
      </c>
      <c r="B30" s="57">
        <v>19</v>
      </c>
      <c r="C30" s="57">
        <f>10+0+14</f>
        <v>24</v>
      </c>
      <c r="D30" s="2">
        <v>30420</v>
      </c>
      <c r="E30" s="2">
        <f>13320+7735</f>
        <v>21055</v>
      </c>
      <c r="F30" s="2">
        <f t="shared" si="1"/>
        <v>-9365</v>
      </c>
      <c r="G30" s="17"/>
      <c r="I30" s="17"/>
    </row>
    <row r="31" spans="1:9" ht="24" customHeight="1">
      <c r="A31" s="1" t="s">
        <v>23</v>
      </c>
      <c r="B31" s="57">
        <f>11+0</f>
        <v>11</v>
      </c>
      <c r="C31" s="57">
        <f>0+0</f>
        <v>0</v>
      </c>
      <c r="D31" s="2">
        <v>12600</v>
      </c>
      <c r="E31" s="2">
        <v>0</v>
      </c>
      <c r="F31" s="2">
        <f t="shared" si="1"/>
        <v>-12600</v>
      </c>
      <c r="G31" s="17"/>
      <c r="I31" s="17"/>
    </row>
    <row r="32" spans="1:9" ht="24" customHeight="1">
      <c r="A32" s="1" t="s">
        <v>24</v>
      </c>
      <c r="B32" s="57">
        <v>6</v>
      </c>
      <c r="C32" s="57">
        <v>27</v>
      </c>
      <c r="D32" s="2">
        <v>24160</v>
      </c>
      <c r="E32" s="2">
        <f>126585+31455</f>
        <v>158040</v>
      </c>
      <c r="F32" s="2">
        <f t="shared" si="1"/>
        <v>133880</v>
      </c>
      <c r="G32" s="17"/>
      <c r="I32" s="17"/>
    </row>
    <row r="33" spans="1:11" ht="24" customHeight="1">
      <c r="A33" s="3" t="s">
        <v>37</v>
      </c>
      <c r="B33" s="14">
        <f t="shared" ref="B33:F33" si="2">SUM(B22:B32)</f>
        <v>1163</v>
      </c>
      <c r="C33" s="14">
        <f t="shared" si="2"/>
        <v>1883</v>
      </c>
      <c r="D33" s="7">
        <f t="shared" si="2"/>
        <v>1374352.22</v>
      </c>
      <c r="E33" s="7">
        <f t="shared" si="2"/>
        <v>2267531.66</v>
      </c>
      <c r="F33" s="7">
        <f t="shared" si="2"/>
        <v>893179.44000000018</v>
      </c>
      <c r="G33" s="17"/>
      <c r="I33" s="17"/>
    </row>
    <row r="34" spans="1:11" ht="24" customHeight="1">
      <c r="A34" s="76" t="s">
        <v>25</v>
      </c>
      <c r="B34" s="77"/>
      <c r="C34" s="77"/>
      <c r="D34" s="77"/>
      <c r="E34" s="77"/>
      <c r="F34" s="78"/>
      <c r="G34" s="17"/>
      <c r="I34" s="17"/>
    </row>
    <row r="35" spans="1:11" ht="24" customHeight="1">
      <c r="A35" s="1" t="s">
        <v>26</v>
      </c>
      <c r="B35" s="57">
        <f>144314+35025</f>
        <v>179339</v>
      </c>
      <c r="C35" s="57">
        <f>277966+35780</f>
        <v>313746</v>
      </c>
      <c r="D35" s="2">
        <f>15257970.32+2552405.63</f>
        <v>17810375.949999999</v>
      </c>
      <c r="E35" s="2">
        <f>20479571.38+2923166.73</f>
        <v>23402738.109999999</v>
      </c>
      <c r="F35" s="2">
        <f>E35-D35</f>
        <v>5592362.1600000001</v>
      </c>
      <c r="G35" s="17"/>
      <c r="I35" s="17"/>
      <c r="K35" s="17"/>
    </row>
    <row r="36" spans="1:11" ht="24" customHeight="1">
      <c r="A36" s="1" t="s">
        <v>27</v>
      </c>
      <c r="B36" s="57">
        <f>4991+442</f>
        <v>5433</v>
      </c>
      <c r="C36" s="57">
        <f>4316+360</f>
        <v>4676</v>
      </c>
      <c r="D36" s="2">
        <f>901329.16+89636.4</f>
        <v>990965.56</v>
      </c>
      <c r="E36" s="2">
        <f>912418.83+88920.98</f>
        <v>1001339.8099999999</v>
      </c>
      <c r="F36" s="2">
        <f t="shared" ref="F36:F37" si="3">E36-D36</f>
        <v>10374.249999999884</v>
      </c>
      <c r="G36" s="17"/>
      <c r="I36" s="17"/>
      <c r="K36" s="17"/>
    </row>
    <row r="37" spans="1:11" ht="24" customHeight="1">
      <c r="A37" s="34" t="s">
        <v>28</v>
      </c>
      <c r="B37" s="57">
        <f>220+26</f>
        <v>246</v>
      </c>
      <c r="C37" s="57">
        <f>246+33</f>
        <v>279</v>
      </c>
      <c r="D37" s="2">
        <f>922386.32+108855</f>
        <v>1031241.32</v>
      </c>
      <c r="E37" s="2">
        <f>902950.51+139404.45</f>
        <v>1042354.96</v>
      </c>
      <c r="F37" s="2">
        <f t="shared" si="3"/>
        <v>11113.640000000014</v>
      </c>
      <c r="G37" s="17"/>
      <c r="I37" s="17"/>
      <c r="K37" s="17"/>
    </row>
    <row r="38" spans="1:11" ht="31.5">
      <c r="A38" s="3" t="s">
        <v>34</v>
      </c>
      <c r="B38" s="14">
        <f>SUM(B35:B37)</f>
        <v>185018</v>
      </c>
      <c r="C38" s="14">
        <f>SUM(C35:C37)</f>
        <v>318701</v>
      </c>
      <c r="D38" s="7">
        <f>SUM(D35:D37)</f>
        <v>19832582.829999998</v>
      </c>
      <c r="E38" s="7">
        <f>SUM(E35:E37)</f>
        <v>25446432.879999999</v>
      </c>
      <c r="F38" s="7">
        <f>SUM(F35:F37)</f>
        <v>5613850.0499999998</v>
      </c>
      <c r="G38" s="17"/>
      <c r="I38" s="17"/>
      <c r="J38" s="17"/>
      <c r="K38" s="17"/>
    </row>
    <row r="39" spans="1:11" ht="31.5">
      <c r="A39" s="4" t="s">
        <v>35</v>
      </c>
      <c r="B39" s="14">
        <f>B20+B33+B38</f>
        <v>194673</v>
      </c>
      <c r="C39" s="14">
        <f>C20+C33+C38</f>
        <v>331723</v>
      </c>
      <c r="D39" s="7">
        <f>D20+D33+D38</f>
        <v>24944313.369999997</v>
      </c>
      <c r="E39" s="7">
        <f>E20+E33+E38</f>
        <v>32728275.18</v>
      </c>
      <c r="F39" s="7">
        <f>F20+F33+F38</f>
        <v>7783961.8099999996</v>
      </c>
      <c r="G39" s="17"/>
      <c r="I39" s="17"/>
      <c r="K39" s="17"/>
    </row>
    <row r="40" spans="1:11" ht="15.75">
      <c r="A40" s="70" t="s">
        <v>42</v>
      </c>
      <c r="B40" s="71"/>
      <c r="C40" s="71"/>
      <c r="D40" s="71"/>
      <c r="E40" s="71"/>
      <c r="F40" s="72"/>
      <c r="G40" s="17"/>
      <c r="I40" s="17"/>
    </row>
    <row r="41" spans="1:11" ht="24" customHeight="1">
      <c r="A41" s="1" t="s">
        <v>75</v>
      </c>
      <c r="B41" s="5">
        <f>19543+1564</f>
        <v>21107</v>
      </c>
      <c r="C41" s="5">
        <f>24202+3259</f>
        <v>27461</v>
      </c>
      <c r="D41" s="2">
        <f>7758748.13+617362</f>
        <v>8376110.1299999999</v>
      </c>
      <c r="E41" s="2">
        <f>9578791.99+1239201.11</f>
        <v>10817993.1</v>
      </c>
      <c r="F41" s="2">
        <f>E41-D41</f>
        <v>2441882.9699999997</v>
      </c>
      <c r="G41" s="17"/>
      <c r="I41" s="17"/>
    </row>
    <row r="42" spans="1:11" ht="24" customHeight="1">
      <c r="A42" s="1" t="s">
        <v>32</v>
      </c>
      <c r="B42" s="57">
        <f>2930+262</f>
        <v>3192</v>
      </c>
      <c r="C42" s="57">
        <f>12855+2514</f>
        <v>15369</v>
      </c>
      <c r="D42" s="2">
        <f>1954205+101240</f>
        <v>2055445</v>
      </c>
      <c r="E42" s="51">
        <f>3713471+969200</f>
        <v>4682671</v>
      </c>
      <c r="F42" s="2">
        <f t="shared" ref="F42:F46" si="4">E42-D42</f>
        <v>2627226</v>
      </c>
      <c r="G42" s="17"/>
      <c r="I42" s="17"/>
    </row>
    <row r="43" spans="1:11" ht="24" customHeight="1">
      <c r="A43" s="1" t="s">
        <v>3</v>
      </c>
      <c r="B43" s="5">
        <v>5581</v>
      </c>
      <c r="C43" s="5">
        <v>5818</v>
      </c>
      <c r="D43" s="2">
        <f>492415+76312</f>
        <v>568727</v>
      </c>
      <c r="E43" s="2">
        <f>584522+66363</f>
        <v>650885</v>
      </c>
      <c r="F43" s="2">
        <f t="shared" si="4"/>
        <v>82158</v>
      </c>
      <c r="G43" s="17"/>
      <c r="I43" s="17"/>
    </row>
    <row r="44" spans="1:11" ht="24" customHeight="1">
      <c r="A44" s="1" t="s">
        <v>4</v>
      </c>
      <c r="B44" s="5">
        <f>8758+619</f>
        <v>9377</v>
      </c>
      <c r="C44" s="5">
        <f>13013+1277</f>
        <v>14290</v>
      </c>
      <c r="D44" s="2">
        <f>1051547+68200</f>
        <v>1119747</v>
      </c>
      <c r="E44" s="2">
        <f>1317760+86850</f>
        <v>1404610</v>
      </c>
      <c r="F44" s="2">
        <f t="shared" si="4"/>
        <v>284863</v>
      </c>
      <c r="G44" s="17"/>
      <c r="I44" s="17"/>
    </row>
    <row r="45" spans="1:11" ht="24" customHeight="1">
      <c r="A45" s="1" t="s">
        <v>2</v>
      </c>
      <c r="B45" s="57">
        <f>1016+87</f>
        <v>1103</v>
      </c>
      <c r="C45" s="57">
        <f>1490+129</f>
        <v>1619</v>
      </c>
      <c r="D45" s="2">
        <f>719530+219830</f>
        <v>939360</v>
      </c>
      <c r="E45" s="2">
        <f>1223139.14+176250</f>
        <v>1399389.14</v>
      </c>
      <c r="F45" s="2">
        <f t="shared" si="4"/>
        <v>460029.1399999999</v>
      </c>
      <c r="G45" s="17"/>
      <c r="I45" s="17"/>
    </row>
    <row r="46" spans="1:11" ht="24" customHeight="1">
      <c r="A46" s="1" t="s">
        <v>5</v>
      </c>
      <c r="B46" s="5">
        <f>35176+11657+8886+1048</f>
        <v>56767</v>
      </c>
      <c r="C46" s="5">
        <f>43891+911</f>
        <v>44802</v>
      </c>
      <c r="D46" s="2">
        <f>8814800+202400</f>
        <v>9017200</v>
      </c>
      <c r="E46" s="2">
        <f>8711720+202500</f>
        <v>8914220</v>
      </c>
      <c r="F46" s="2">
        <f t="shared" si="4"/>
        <v>-102980</v>
      </c>
      <c r="G46" s="17"/>
      <c r="I46" s="17"/>
    </row>
    <row r="47" spans="1:11" ht="32.450000000000003" customHeight="1">
      <c r="A47" s="6" t="s">
        <v>43</v>
      </c>
      <c r="B47" s="8">
        <f>SUM(B41:B46)</f>
        <v>97127</v>
      </c>
      <c r="C47" s="8">
        <f>SUM(C41:C46)</f>
        <v>109359</v>
      </c>
      <c r="D47" s="7">
        <f>SUM(D41:D46)</f>
        <v>22076589.129999999</v>
      </c>
      <c r="E47" s="7">
        <f>SUM(E41:E46)</f>
        <v>27869768.240000002</v>
      </c>
      <c r="F47" s="7">
        <f>SUM(F41:F46)</f>
        <v>5793179.1099999994</v>
      </c>
      <c r="G47" s="17"/>
      <c r="I47" s="17"/>
    </row>
    <row r="48" spans="1:11" ht="24" customHeight="1">
      <c r="A48" s="70" t="s">
        <v>65</v>
      </c>
      <c r="B48" s="71"/>
      <c r="C48" s="71"/>
      <c r="D48" s="71"/>
      <c r="E48" s="71"/>
      <c r="F48" s="72"/>
      <c r="G48" s="17"/>
      <c r="I48" s="17"/>
    </row>
    <row r="49" spans="1:9" ht="24" customHeight="1">
      <c r="A49" s="1" t="s">
        <v>31</v>
      </c>
      <c r="B49" s="5">
        <f>63+2</f>
        <v>65</v>
      </c>
      <c r="C49" s="5">
        <f>199+7</f>
        <v>206</v>
      </c>
      <c r="D49" s="2">
        <f>69000+28500</f>
        <v>97500</v>
      </c>
      <c r="E49" s="2">
        <f>109500+47250</f>
        <v>156750</v>
      </c>
      <c r="F49" s="2">
        <f>E49-D49</f>
        <v>59250</v>
      </c>
      <c r="G49" s="17"/>
      <c r="I49" s="17"/>
    </row>
    <row r="50" spans="1:9" ht="32.450000000000003" customHeight="1">
      <c r="A50" s="6" t="s">
        <v>66</v>
      </c>
      <c r="B50" s="8">
        <f>B49</f>
        <v>65</v>
      </c>
      <c r="C50" s="8">
        <f t="shared" ref="C50:F50" si="5">C49</f>
        <v>206</v>
      </c>
      <c r="D50" s="7">
        <f t="shared" si="5"/>
        <v>97500</v>
      </c>
      <c r="E50" s="7">
        <f>E49</f>
        <v>156750</v>
      </c>
      <c r="F50" s="7">
        <f t="shared" si="5"/>
        <v>59250</v>
      </c>
      <c r="G50" s="17"/>
      <c r="I50" s="17"/>
    </row>
    <row r="51" spans="1:9" ht="42.6" customHeight="1">
      <c r="A51" s="4" t="s">
        <v>36</v>
      </c>
      <c r="B51" s="8">
        <f>B39+B47+B50</f>
        <v>291865</v>
      </c>
      <c r="C51" s="8">
        <f t="shared" ref="C51:E51" si="6">C39+C47+C50</f>
        <v>441288</v>
      </c>
      <c r="D51" s="7">
        <f t="shared" si="6"/>
        <v>47118402.5</v>
      </c>
      <c r="E51" s="7">
        <f t="shared" si="6"/>
        <v>60754793.420000002</v>
      </c>
      <c r="F51" s="7">
        <f>F50+F47+F39</f>
        <v>13636390.919999998</v>
      </c>
      <c r="G51" s="17"/>
      <c r="I51" s="17"/>
    </row>
    <row r="52" spans="1:9" ht="42.6" customHeight="1">
      <c r="A52" s="68" t="s">
        <v>86</v>
      </c>
      <c r="B52" s="68"/>
      <c r="C52" s="68"/>
      <c r="D52" s="68"/>
      <c r="E52" s="68"/>
      <c r="F52" s="68"/>
      <c r="G52" s="17"/>
      <c r="I52" s="17"/>
    </row>
    <row r="53" spans="1:9" s="15" customFormat="1" ht="28.5" customHeight="1">
      <c r="A53" s="16"/>
      <c r="B53" s="17"/>
      <c r="C53" s="17"/>
      <c r="D53" s="17"/>
      <c r="E53" s="17"/>
      <c r="F53" s="13"/>
    </row>
    <row r="54" spans="1:9" ht="60.75" customHeight="1">
      <c r="A54" s="19"/>
      <c r="E54" s="17"/>
      <c r="G54" s="18"/>
    </row>
    <row r="55" spans="1:9">
      <c r="A55" s="69"/>
      <c r="B55" s="69"/>
      <c r="C55" s="69"/>
      <c r="D55" s="69"/>
      <c r="E55" s="69"/>
      <c r="F55" s="69"/>
    </row>
    <row r="56" spans="1:9" hidden="1"/>
  </sheetData>
  <mergeCells count="14">
    <mergeCell ref="A52:F52"/>
    <mergeCell ref="A55:F55"/>
    <mergeCell ref="A10:F10"/>
    <mergeCell ref="A11:F11"/>
    <mergeCell ref="A21:F21"/>
    <mergeCell ref="A34:F34"/>
    <mergeCell ref="A40:F40"/>
    <mergeCell ref="A48:F48"/>
    <mergeCell ref="A1:F1"/>
    <mergeCell ref="A4:F5"/>
    <mergeCell ref="A6:A8"/>
    <mergeCell ref="B6:C7"/>
    <mergeCell ref="D6:E7"/>
    <mergeCell ref="F6:F8"/>
  </mergeCells>
  <pageMargins left="0.7" right="0" top="0.34" bottom="0.39370078740157483" header="0" footer="0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view="pageBreakPreview" topLeftCell="A16" zoomScale="110" zoomScaleSheetLayoutView="110" workbookViewId="0">
      <selection activeCell="E41" sqref="E41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5.42578125" style="13" customWidth="1"/>
    <col min="8" max="8" width="9.140625" style="13"/>
    <col min="9" max="9" width="15" style="13" customWidth="1"/>
    <col min="10" max="10" width="12.42578125" style="13" customWidth="1"/>
    <col min="11" max="11" width="21.42578125" style="13" customWidth="1"/>
    <col min="12" max="16384" width="9.140625" style="13"/>
  </cols>
  <sheetData>
    <row r="1" spans="1:9" ht="7.15" customHeight="1">
      <c r="A1" s="60"/>
      <c r="B1" s="60"/>
      <c r="C1" s="60"/>
      <c r="D1" s="60"/>
      <c r="E1" s="60"/>
      <c r="F1" s="60"/>
    </row>
    <row r="2" spans="1:9" ht="7.5" customHeight="1">
      <c r="A2" s="52"/>
    </row>
    <row r="3" spans="1:9" ht="4.5" hidden="1" customHeight="1">
      <c r="A3" s="52"/>
    </row>
    <row r="4" spans="1:9" ht="51" customHeight="1">
      <c r="A4" s="61" t="s">
        <v>77</v>
      </c>
      <c r="B4" s="61"/>
      <c r="C4" s="61"/>
      <c r="D4" s="61"/>
      <c r="E4" s="61"/>
      <c r="F4" s="61"/>
    </row>
    <row r="5" spans="1:9" ht="19.5" customHeight="1">
      <c r="A5" s="62"/>
      <c r="B5" s="62"/>
      <c r="C5" s="62"/>
      <c r="D5" s="62"/>
      <c r="E5" s="62"/>
      <c r="F5" s="62"/>
    </row>
    <row r="6" spans="1:9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80</v>
      </c>
    </row>
    <row r="7" spans="1:9" ht="21.75" customHeight="1">
      <c r="A7" s="63"/>
      <c r="B7" s="66"/>
      <c r="C7" s="67"/>
      <c r="D7" s="66"/>
      <c r="E7" s="67"/>
      <c r="F7" s="63"/>
    </row>
    <row r="8" spans="1:9" ht="21.75" customHeight="1">
      <c r="A8" s="63"/>
      <c r="B8" s="20" t="s">
        <v>78</v>
      </c>
      <c r="C8" s="20" t="s">
        <v>79</v>
      </c>
      <c r="D8" s="20" t="s">
        <v>78</v>
      </c>
      <c r="E8" s="20" t="s">
        <v>79</v>
      </c>
      <c r="F8" s="63"/>
    </row>
    <row r="9" spans="1:9" ht="15" customHeight="1">
      <c r="A9" s="53">
        <v>1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</row>
    <row r="10" spans="1:9" ht="21.75" customHeight="1">
      <c r="A10" s="70" t="s">
        <v>38</v>
      </c>
      <c r="B10" s="71"/>
      <c r="C10" s="71"/>
      <c r="D10" s="71"/>
      <c r="E10" s="71"/>
      <c r="F10" s="72"/>
    </row>
    <row r="11" spans="1:9" ht="16.5" customHeight="1">
      <c r="A11" s="70" t="s">
        <v>1</v>
      </c>
      <c r="B11" s="71"/>
      <c r="C11" s="71"/>
      <c r="D11" s="71"/>
      <c r="E11" s="71"/>
      <c r="F11" s="72"/>
    </row>
    <row r="12" spans="1:9" ht="24" customHeight="1">
      <c r="A12" s="1" t="s">
        <v>7</v>
      </c>
      <c r="B12" s="48">
        <v>1318</v>
      </c>
      <c r="C12" s="48">
        <v>2169</v>
      </c>
      <c r="D12" s="2">
        <v>640882</v>
      </c>
      <c r="E12" s="2">
        <v>901270</v>
      </c>
      <c r="F12" s="2">
        <f>E12-D12</f>
        <v>260388</v>
      </c>
      <c r="G12" s="17"/>
      <c r="I12" s="17"/>
    </row>
    <row r="13" spans="1:9" ht="24" customHeight="1">
      <c r="A13" s="1" t="s">
        <v>8</v>
      </c>
      <c r="B13" s="53">
        <f>808+0</f>
        <v>808</v>
      </c>
      <c r="C13" s="53">
        <f>717+0</f>
        <v>717</v>
      </c>
      <c r="D13" s="2">
        <f>422731+29744</f>
        <v>452475</v>
      </c>
      <c r="E13" s="2">
        <v>313770</v>
      </c>
      <c r="F13" s="2">
        <f t="shared" ref="F13:F19" si="0">E13-D13</f>
        <v>-138705</v>
      </c>
      <c r="G13" s="17"/>
      <c r="I13" s="17"/>
    </row>
    <row r="14" spans="1:9" ht="24" customHeight="1">
      <c r="A14" s="1" t="s">
        <v>9</v>
      </c>
      <c r="B14" s="53">
        <f>0+0</f>
        <v>0</v>
      </c>
      <c r="C14" s="53">
        <v>319</v>
      </c>
      <c r="D14" s="2">
        <v>0</v>
      </c>
      <c r="E14" s="2">
        <v>146153</v>
      </c>
      <c r="F14" s="2">
        <f t="shared" si="0"/>
        <v>146153</v>
      </c>
      <c r="G14" s="17"/>
      <c r="I14" s="17"/>
    </row>
    <row r="15" spans="1:9" ht="24" customHeight="1">
      <c r="A15" s="1" t="s">
        <v>29</v>
      </c>
      <c r="B15" s="53">
        <v>2909</v>
      </c>
      <c r="C15" s="53">
        <v>3227</v>
      </c>
      <c r="D15" s="2">
        <v>1543413.32</v>
      </c>
      <c r="E15" s="2">
        <v>1976409.64</v>
      </c>
      <c r="F15" s="2">
        <f t="shared" si="0"/>
        <v>432996.31999999983</v>
      </c>
      <c r="G15" s="17"/>
      <c r="I15" s="17"/>
    </row>
    <row r="16" spans="1:9" ht="24" customHeight="1">
      <c r="A16" s="1" t="s">
        <v>10</v>
      </c>
      <c r="B16" s="39">
        <f>716+0</f>
        <v>716</v>
      </c>
      <c r="C16" s="39">
        <f>1428+0</f>
        <v>1428</v>
      </c>
      <c r="D16" s="2">
        <v>131128</v>
      </c>
      <c r="E16" s="2">
        <v>652143</v>
      </c>
      <c r="F16" s="2">
        <f t="shared" si="0"/>
        <v>521015</v>
      </c>
      <c r="G16" s="17"/>
      <c r="I16" s="17"/>
    </row>
    <row r="17" spans="1:9" ht="34.15" customHeight="1">
      <c r="A17" s="1" t="s">
        <v>64</v>
      </c>
      <c r="B17" s="53">
        <f>323+297</f>
        <v>620</v>
      </c>
      <c r="C17" s="53">
        <f>733+0</f>
        <v>733</v>
      </c>
      <c r="D17" s="2">
        <f>127104+291706</f>
        <v>418810</v>
      </c>
      <c r="E17" s="2">
        <v>397643</v>
      </c>
      <c r="F17" s="2">
        <f t="shared" si="0"/>
        <v>-21167</v>
      </c>
      <c r="G17" s="17"/>
      <c r="I17" s="17"/>
    </row>
    <row r="18" spans="1:9" ht="24" customHeight="1">
      <c r="A18" s="1" t="s">
        <v>11</v>
      </c>
      <c r="B18" s="55">
        <v>630</v>
      </c>
      <c r="C18" s="55">
        <v>613</v>
      </c>
      <c r="D18" s="2">
        <v>241467</v>
      </c>
      <c r="E18" s="2">
        <v>214494</v>
      </c>
      <c r="F18" s="2">
        <f t="shared" si="0"/>
        <v>-26973</v>
      </c>
      <c r="G18" s="17"/>
      <c r="I18" s="17"/>
    </row>
    <row r="19" spans="1:9" ht="24" customHeight="1">
      <c r="A19" s="1" t="s">
        <v>12</v>
      </c>
      <c r="B19" s="53">
        <v>284</v>
      </c>
      <c r="C19" s="53">
        <v>220</v>
      </c>
      <c r="D19" s="2">
        <v>76629</v>
      </c>
      <c r="E19" s="2">
        <v>84353</v>
      </c>
      <c r="F19" s="2">
        <f t="shared" si="0"/>
        <v>7724</v>
      </c>
      <c r="G19" s="17"/>
      <c r="I19" s="17"/>
    </row>
    <row r="20" spans="1:9" ht="24" customHeight="1">
      <c r="A20" s="3" t="s">
        <v>33</v>
      </c>
      <c r="B20" s="14">
        <f>SUM(B12:B19)</f>
        <v>7285</v>
      </c>
      <c r="C20" s="14">
        <f>SUM(C12:C19)</f>
        <v>9426</v>
      </c>
      <c r="D20" s="7">
        <f>SUM(D12:D19)</f>
        <v>3504804.3200000003</v>
      </c>
      <c r="E20" s="7">
        <f>SUM(E12:E19)</f>
        <v>4686235.6399999997</v>
      </c>
      <c r="F20" s="7">
        <f>SUM(F12:F19)</f>
        <v>1181431.3199999998</v>
      </c>
      <c r="G20" s="17"/>
      <c r="I20" s="17"/>
    </row>
    <row r="21" spans="1:9" ht="24" customHeight="1">
      <c r="A21" s="73" t="s">
        <v>13</v>
      </c>
      <c r="B21" s="74"/>
      <c r="C21" s="74"/>
      <c r="D21" s="74"/>
      <c r="E21" s="74"/>
      <c r="F21" s="75"/>
      <c r="G21" s="17"/>
      <c r="I21" s="17"/>
    </row>
    <row r="22" spans="1:9" ht="24" customHeight="1">
      <c r="A22" s="1" t="s">
        <v>14</v>
      </c>
      <c r="B22" s="53">
        <v>477</v>
      </c>
      <c r="C22" s="53">
        <v>641</v>
      </c>
      <c r="D22" s="2">
        <v>371114.74</v>
      </c>
      <c r="E22" s="2">
        <v>402851</v>
      </c>
      <c r="F22" s="2">
        <f>E22-D22</f>
        <v>31736.260000000009</v>
      </c>
      <c r="G22" s="17"/>
      <c r="I22" s="17"/>
    </row>
    <row r="23" spans="1:9" ht="24" customHeight="1">
      <c r="A23" s="1" t="s">
        <v>15</v>
      </c>
      <c r="B23" s="53">
        <v>69</v>
      </c>
      <c r="C23" s="53">
        <v>80</v>
      </c>
      <c r="D23" s="2">
        <v>247002.75</v>
      </c>
      <c r="E23" s="2">
        <v>319689.8</v>
      </c>
      <c r="F23" s="2">
        <f>E23-D23</f>
        <v>72687.049999999988</v>
      </c>
      <c r="G23" s="17"/>
      <c r="I23" s="17"/>
    </row>
    <row r="24" spans="1:9" ht="24" customHeight="1">
      <c r="A24" s="1" t="s">
        <v>16</v>
      </c>
      <c r="B24" s="53">
        <v>107</v>
      </c>
      <c r="C24" s="55">
        <v>54</v>
      </c>
      <c r="D24" s="2">
        <v>158170</v>
      </c>
      <c r="E24" s="2">
        <v>110966.39999999999</v>
      </c>
      <c r="F24" s="2">
        <f t="shared" ref="F24:F32" si="1">E24-D24</f>
        <v>-47203.600000000006</v>
      </c>
      <c r="G24" s="17"/>
      <c r="I24" s="17"/>
    </row>
    <row r="25" spans="1:9" ht="24" customHeight="1">
      <c r="A25" s="1" t="s">
        <v>17</v>
      </c>
      <c r="B25" s="53">
        <v>176</v>
      </c>
      <c r="C25" s="53">
        <f>742+0</f>
        <v>742</v>
      </c>
      <c r="D25" s="2">
        <v>321484</v>
      </c>
      <c r="E25" s="2">
        <v>487318.8</v>
      </c>
      <c r="F25" s="2">
        <f t="shared" si="1"/>
        <v>165834.79999999999</v>
      </c>
      <c r="G25" s="17"/>
      <c r="I25" s="17"/>
    </row>
    <row r="26" spans="1:9" ht="24" customHeight="1">
      <c r="A26" s="1" t="s">
        <v>18</v>
      </c>
      <c r="B26" s="53">
        <v>18</v>
      </c>
      <c r="C26" s="53">
        <v>11</v>
      </c>
      <c r="D26" s="2">
        <v>28560</v>
      </c>
      <c r="E26" s="2">
        <v>31160</v>
      </c>
      <c r="F26" s="2">
        <f t="shared" si="1"/>
        <v>2600</v>
      </c>
      <c r="G26" s="17"/>
      <c r="I26" s="17"/>
    </row>
    <row r="27" spans="1:9" ht="24" customHeight="1">
      <c r="A27" s="1" t="s">
        <v>19</v>
      </c>
      <c r="B27" s="53">
        <v>134</v>
      </c>
      <c r="C27" s="53">
        <v>90</v>
      </c>
      <c r="D27" s="2">
        <v>25534.43</v>
      </c>
      <c r="E27" s="2">
        <v>15622.79</v>
      </c>
      <c r="F27" s="2">
        <f t="shared" si="1"/>
        <v>-9911.64</v>
      </c>
      <c r="G27" s="17"/>
      <c r="I27" s="17"/>
    </row>
    <row r="28" spans="1:9" ht="24" customHeight="1">
      <c r="A28" s="1" t="s">
        <v>20</v>
      </c>
      <c r="B28" s="53">
        <f>49+0</f>
        <v>49</v>
      </c>
      <c r="C28" s="53">
        <f>66+0</f>
        <v>66</v>
      </c>
      <c r="D28" s="2">
        <v>75985.63</v>
      </c>
      <c r="E28" s="2">
        <v>116293.87</v>
      </c>
      <c r="F28" s="2">
        <f t="shared" si="1"/>
        <v>40308.239999999991</v>
      </c>
      <c r="G28" s="17"/>
      <c r="I28" s="17"/>
    </row>
    <row r="29" spans="1:9" ht="24" customHeight="1">
      <c r="A29" s="1" t="s">
        <v>21</v>
      </c>
      <c r="B29" s="53">
        <f>17+0</f>
        <v>17</v>
      </c>
      <c r="C29" s="53">
        <f>19+0</f>
        <v>19</v>
      </c>
      <c r="D29" s="2">
        <v>25336</v>
      </c>
      <c r="E29" s="2">
        <v>31312</v>
      </c>
      <c r="F29" s="2">
        <f t="shared" si="1"/>
        <v>5976</v>
      </c>
      <c r="G29" s="17"/>
      <c r="I29" s="17"/>
    </row>
    <row r="30" spans="1:9" ht="24" customHeight="1">
      <c r="A30" s="1" t="s">
        <v>22</v>
      </c>
      <c r="B30" s="53">
        <v>19</v>
      </c>
      <c r="C30" s="53">
        <f>10+0</f>
        <v>10</v>
      </c>
      <c r="D30" s="2">
        <v>30420</v>
      </c>
      <c r="E30" s="2">
        <v>13320</v>
      </c>
      <c r="F30" s="2">
        <f t="shared" si="1"/>
        <v>-17100</v>
      </c>
      <c r="G30" s="17"/>
      <c r="I30" s="17"/>
    </row>
    <row r="31" spans="1:9" ht="24" customHeight="1">
      <c r="A31" s="1" t="s">
        <v>23</v>
      </c>
      <c r="B31" s="53">
        <f>11+0</f>
        <v>11</v>
      </c>
      <c r="C31" s="53">
        <f>0+0</f>
        <v>0</v>
      </c>
      <c r="D31" s="2">
        <v>12600</v>
      </c>
      <c r="E31" s="2">
        <v>0</v>
      </c>
      <c r="F31" s="2">
        <f t="shared" si="1"/>
        <v>-12600</v>
      </c>
      <c r="G31" s="17"/>
      <c r="I31" s="17"/>
    </row>
    <row r="32" spans="1:9" ht="24" customHeight="1">
      <c r="A32" s="1" t="s">
        <v>24</v>
      </c>
      <c r="B32" s="53">
        <v>6</v>
      </c>
      <c r="C32" s="54">
        <v>27</v>
      </c>
      <c r="D32" s="2">
        <v>24160</v>
      </c>
      <c r="E32" s="2">
        <v>126585</v>
      </c>
      <c r="F32" s="2">
        <f t="shared" si="1"/>
        <v>102425</v>
      </c>
      <c r="G32" s="17"/>
      <c r="I32" s="17"/>
    </row>
    <row r="33" spans="1:11" ht="24" customHeight="1">
      <c r="A33" s="3" t="s">
        <v>37</v>
      </c>
      <c r="B33" s="14">
        <f t="shared" ref="B33:F33" si="2">SUM(B22:B32)</f>
        <v>1083</v>
      </c>
      <c r="C33" s="14">
        <f t="shared" si="2"/>
        <v>1740</v>
      </c>
      <c r="D33" s="7">
        <f t="shared" si="2"/>
        <v>1320367.5499999998</v>
      </c>
      <c r="E33" s="7">
        <f t="shared" si="2"/>
        <v>1655119.6600000001</v>
      </c>
      <c r="F33" s="7">
        <f t="shared" si="2"/>
        <v>334752.11</v>
      </c>
      <c r="G33" s="17"/>
      <c r="I33" s="17"/>
    </row>
    <row r="34" spans="1:11" ht="24" customHeight="1">
      <c r="A34" s="76" t="s">
        <v>25</v>
      </c>
      <c r="B34" s="77"/>
      <c r="C34" s="77"/>
      <c r="D34" s="77"/>
      <c r="E34" s="77"/>
      <c r="F34" s="78"/>
      <c r="G34" s="17"/>
      <c r="I34" s="17"/>
    </row>
    <row r="35" spans="1:11" ht="24" customHeight="1">
      <c r="A35" s="1" t="s">
        <v>26</v>
      </c>
      <c r="B35" s="53">
        <f>144225+27238+27251</f>
        <v>198714</v>
      </c>
      <c r="C35" s="53">
        <v>277966</v>
      </c>
      <c r="D35" s="2">
        <v>15257970.32</v>
      </c>
      <c r="E35" s="2">
        <v>20479571.379999999</v>
      </c>
      <c r="F35" s="2">
        <f>E35-D35</f>
        <v>5221601.0599999987</v>
      </c>
      <c r="G35" s="17"/>
      <c r="I35" s="17"/>
      <c r="K35" s="17"/>
    </row>
    <row r="36" spans="1:11" ht="24" customHeight="1">
      <c r="A36" s="1" t="s">
        <v>27</v>
      </c>
      <c r="B36" s="53">
        <v>4991</v>
      </c>
      <c r="C36" s="53">
        <v>4316</v>
      </c>
      <c r="D36" s="2">
        <v>901329.16</v>
      </c>
      <c r="E36" s="2">
        <v>912418.83</v>
      </c>
      <c r="F36" s="2">
        <f t="shared" ref="F36:F37" si="3">E36-D36</f>
        <v>11089.669999999925</v>
      </c>
      <c r="G36" s="17"/>
      <c r="I36" s="17"/>
      <c r="K36" s="17"/>
    </row>
    <row r="37" spans="1:11" ht="24" customHeight="1">
      <c r="A37" s="34" t="s">
        <v>28</v>
      </c>
      <c r="B37" s="53">
        <v>220</v>
      </c>
      <c r="C37" s="53">
        <v>246</v>
      </c>
      <c r="D37" s="2">
        <v>922386.32</v>
      </c>
      <c r="E37" s="2">
        <v>902950.51</v>
      </c>
      <c r="F37" s="2">
        <f t="shared" si="3"/>
        <v>-19435.809999999939</v>
      </c>
      <c r="G37" s="17"/>
      <c r="I37" s="17"/>
      <c r="K37" s="17"/>
    </row>
    <row r="38" spans="1:11" ht="31.5">
      <c r="A38" s="3" t="s">
        <v>34</v>
      </c>
      <c r="B38" s="14">
        <f>SUM(B35:B37)</f>
        <v>203925</v>
      </c>
      <c r="C38" s="14">
        <f>SUM(C35:C37)</f>
        <v>282528</v>
      </c>
      <c r="D38" s="7">
        <f>SUM(D35:D37)</f>
        <v>17081685.800000001</v>
      </c>
      <c r="E38" s="7">
        <f>SUM(E35:E37)</f>
        <v>22294940.719999999</v>
      </c>
      <c r="F38" s="7">
        <f>SUM(F35:F37)</f>
        <v>5213254.919999999</v>
      </c>
      <c r="G38" s="17"/>
      <c r="I38" s="17"/>
      <c r="J38" s="17"/>
      <c r="K38" s="17"/>
    </row>
    <row r="39" spans="1:11" ht="31.5">
      <c r="A39" s="4" t="s">
        <v>35</v>
      </c>
      <c r="B39" s="14">
        <f>B20+B33+B38</f>
        <v>212293</v>
      </c>
      <c r="C39" s="14">
        <f>C20+C33+C38</f>
        <v>293694</v>
      </c>
      <c r="D39" s="7">
        <f>D20+D33+D38</f>
        <v>21906857.670000002</v>
      </c>
      <c r="E39" s="7">
        <f>E20+E33+E38</f>
        <v>28636296.02</v>
      </c>
      <c r="F39" s="7">
        <f>F20+F33+F38</f>
        <v>6729438.3499999987</v>
      </c>
      <c r="G39" s="17"/>
      <c r="I39" s="17"/>
      <c r="K39" s="17"/>
    </row>
    <row r="40" spans="1:11" ht="15.75">
      <c r="A40" s="70" t="s">
        <v>42</v>
      </c>
      <c r="B40" s="71"/>
      <c r="C40" s="71"/>
      <c r="D40" s="71"/>
      <c r="E40" s="71"/>
      <c r="F40" s="72"/>
      <c r="G40" s="17"/>
      <c r="I40" s="17"/>
    </row>
    <row r="41" spans="1:11" ht="24" customHeight="1">
      <c r="A41" s="1" t="s">
        <v>75</v>
      </c>
      <c r="B41" s="5">
        <v>19543</v>
      </c>
      <c r="C41" s="5">
        <v>24202</v>
      </c>
      <c r="D41" s="2">
        <v>7758748.1299999999</v>
      </c>
      <c r="E41" s="2">
        <v>9578791.9900000002</v>
      </c>
      <c r="F41" s="2">
        <f>E41-D41</f>
        <v>1820043.8600000003</v>
      </c>
      <c r="G41" s="17"/>
      <c r="I41" s="17"/>
    </row>
    <row r="42" spans="1:11" ht="24" customHeight="1">
      <c r="A42" s="1" t="s">
        <v>32</v>
      </c>
      <c r="B42" s="53">
        <v>2930</v>
      </c>
      <c r="C42" s="53">
        <v>12855</v>
      </c>
      <c r="D42" s="2">
        <v>1954205</v>
      </c>
      <c r="E42" s="51">
        <v>3713471</v>
      </c>
      <c r="F42" s="2">
        <f t="shared" ref="F42:F46" si="4">E42-D42</f>
        <v>1759266</v>
      </c>
      <c r="G42" s="17"/>
      <c r="I42" s="17"/>
    </row>
    <row r="43" spans="1:11" ht="24" customHeight="1">
      <c r="A43" s="1" t="s">
        <v>3</v>
      </c>
      <c r="B43" s="5">
        <v>5581</v>
      </c>
      <c r="C43" s="5">
        <v>5818</v>
      </c>
      <c r="D43" s="2">
        <v>492415</v>
      </c>
      <c r="E43" s="2">
        <v>584522</v>
      </c>
      <c r="F43" s="2">
        <f t="shared" si="4"/>
        <v>92107</v>
      </c>
      <c r="G43" s="17"/>
      <c r="I43" s="17"/>
    </row>
    <row r="44" spans="1:11" ht="24" customHeight="1">
      <c r="A44" s="1" t="s">
        <v>4</v>
      </c>
      <c r="B44" s="5">
        <v>8758</v>
      </c>
      <c r="C44" s="5">
        <v>13013</v>
      </c>
      <c r="D44" s="2">
        <v>1051547</v>
      </c>
      <c r="E44" s="2">
        <v>1317760</v>
      </c>
      <c r="F44" s="2">
        <f t="shared" si="4"/>
        <v>266213</v>
      </c>
      <c r="G44" s="17"/>
      <c r="I44" s="17"/>
    </row>
    <row r="45" spans="1:11" ht="24" customHeight="1">
      <c r="A45" s="1" t="s">
        <v>2</v>
      </c>
      <c r="B45" s="53">
        <v>1016</v>
      </c>
      <c r="C45" s="53">
        <v>1490</v>
      </c>
      <c r="D45" s="2">
        <v>719530</v>
      </c>
      <c r="E45" s="2">
        <v>1223139.1399999999</v>
      </c>
      <c r="F45" s="2">
        <f t="shared" si="4"/>
        <v>503609.1399999999</v>
      </c>
      <c r="G45" s="17"/>
      <c r="I45" s="17"/>
    </row>
    <row r="46" spans="1:11" ht="24" customHeight="1">
      <c r="A46" s="1" t="s">
        <v>5</v>
      </c>
      <c r="B46" s="5">
        <f>35176+11657+8886</f>
        <v>55719</v>
      </c>
      <c r="C46" s="5">
        <v>43891</v>
      </c>
      <c r="D46" s="2">
        <v>8814800</v>
      </c>
      <c r="E46" s="2">
        <v>8711720</v>
      </c>
      <c r="F46" s="2">
        <f t="shared" si="4"/>
        <v>-103080</v>
      </c>
      <c r="G46" s="17"/>
      <c r="I46" s="17"/>
    </row>
    <row r="47" spans="1:11" ht="32.450000000000003" customHeight="1">
      <c r="A47" s="6" t="s">
        <v>43</v>
      </c>
      <c r="B47" s="8">
        <f>SUM(B41:B46)</f>
        <v>93547</v>
      </c>
      <c r="C47" s="8">
        <f>SUM(C41:C46)</f>
        <v>101269</v>
      </c>
      <c r="D47" s="7">
        <f>SUM(D41:D46)</f>
        <v>20791245.129999999</v>
      </c>
      <c r="E47" s="7">
        <f>SUM(E41:E46)</f>
        <v>25129404.130000003</v>
      </c>
      <c r="F47" s="7">
        <f>SUM(F41:F46)</f>
        <v>4338159</v>
      </c>
      <c r="G47" s="17"/>
      <c r="I47" s="17"/>
    </row>
    <row r="48" spans="1:11" ht="24" customHeight="1">
      <c r="A48" s="70" t="s">
        <v>65</v>
      </c>
      <c r="B48" s="71"/>
      <c r="C48" s="71"/>
      <c r="D48" s="71"/>
      <c r="E48" s="71"/>
      <c r="F48" s="72"/>
      <c r="G48" s="17"/>
      <c r="I48" s="17"/>
    </row>
    <row r="49" spans="1:9" ht="24" customHeight="1">
      <c r="A49" s="1" t="s">
        <v>31</v>
      </c>
      <c r="B49" s="5">
        <v>63</v>
      </c>
      <c r="C49" s="5">
        <v>199</v>
      </c>
      <c r="D49" s="2">
        <v>69000</v>
      </c>
      <c r="E49" s="2">
        <v>109500</v>
      </c>
      <c r="F49" s="2">
        <f>E49-D49</f>
        <v>40500</v>
      </c>
      <c r="G49" s="17"/>
      <c r="I49" s="17"/>
    </row>
    <row r="50" spans="1:9" ht="32.450000000000003" customHeight="1">
      <c r="A50" s="6" t="s">
        <v>66</v>
      </c>
      <c r="B50" s="8">
        <f>B49</f>
        <v>63</v>
      </c>
      <c r="C50" s="8">
        <f t="shared" ref="C50:F50" si="5">C49</f>
        <v>199</v>
      </c>
      <c r="D50" s="7">
        <f t="shared" si="5"/>
        <v>69000</v>
      </c>
      <c r="E50" s="7">
        <f>E49</f>
        <v>109500</v>
      </c>
      <c r="F50" s="7">
        <f t="shared" si="5"/>
        <v>40500</v>
      </c>
      <c r="G50" s="17"/>
      <c r="I50" s="17"/>
    </row>
    <row r="51" spans="1:9" ht="42.6" customHeight="1">
      <c r="A51" s="4" t="s">
        <v>36</v>
      </c>
      <c r="B51" s="8">
        <f>B39+B47+B50</f>
        <v>305903</v>
      </c>
      <c r="C51" s="8">
        <f t="shared" ref="C51:E51" si="6">C39+C47+C50</f>
        <v>395162</v>
      </c>
      <c r="D51" s="7">
        <f t="shared" si="6"/>
        <v>42767102.799999997</v>
      </c>
      <c r="E51" s="7">
        <f t="shared" si="6"/>
        <v>53875200.150000006</v>
      </c>
      <c r="F51" s="7">
        <f>F50+F47+F39</f>
        <v>11108097.349999998</v>
      </c>
      <c r="G51" s="17"/>
      <c r="I51" s="17"/>
    </row>
    <row r="52" spans="1:9" ht="42.6" customHeight="1">
      <c r="A52" s="68" t="s">
        <v>81</v>
      </c>
      <c r="B52" s="68"/>
      <c r="C52" s="68"/>
      <c r="D52" s="68"/>
      <c r="E52" s="68"/>
      <c r="F52" s="68"/>
      <c r="G52" s="17"/>
      <c r="I52" s="17"/>
    </row>
    <row r="53" spans="1:9" s="15" customFormat="1" ht="28.5" customHeight="1">
      <c r="A53" s="16"/>
      <c r="B53" s="17"/>
      <c r="C53" s="17"/>
      <c r="D53" s="17"/>
      <c r="E53" s="17"/>
      <c r="F53" s="13"/>
    </row>
    <row r="54" spans="1:9" ht="60.75" customHeight="1">
      <c r="A54" s="19"/>
      <c r="E54" s="17"/>
      <c r="G54" s="18"/>
    </row>
    <row r="55" spans="1:9">
      <c r="A55" s="69"/>
      <c r="B55" s="69"/>
      <c r="C55" s="69"/>
      <c r="D55" s="69"/>
      <c r="E55" s="69"/>
      <c r="F55" s="69"/>
    </row>
    <row r="56" spans="1:9" hidden="1"/>
  </sheetData>
  <mergeCells count="14">
    <mergeCell ref="A52:F52"/>
    <mergeCell ref="A55:F55"/>
    <mergeCell ref="A10:F10"/>
    <mergeCell ref="A11:F11"/>
    <mergeCell ref="A21:F21"/>
    <mergeCell ref="A34:F34"/>
    <mergeCell ref="A40:F40"/>
    <mergeCell ref="A48:F48"/>
    <mergeCell ref="A1:F1"/>
    <mergeCell ref="A4:F5"/>
    <mergeCell ref="A6:A8"/>
    <mergeCell ref="B6:C7"/>
    <mergeCell ref="D6:E7"/>
    <mergeCell ref="F6:F8"/>
  </mergeCells>
  <pageMargins left="0.7" right="0" top="0.34" bottom="0.39370078740157483" header="0" footer="0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6"/>
  <sheetViews>
    <sheetView view="pageBreakPreview" topLeftCell="A26" zoomScale="90" zoomScaleSheetLayoutView="90" workbookViewId="0">
      <selection activeCell="A52" sqref="A52:F52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5.42578125" style="13" customWidth="1"/>
    <col min="8" max="8" width="9.140625" style="13"/>
    <col min="9" max="9" width="15" style="13" customWidth="1"/>
    <col min="10" max="10" width="12.42578125" style="13" customWidth="1"/>
    <col min="11" max="11" width="21.42578125" style="13" customWidth="1"/>
    <col min="12" max="16384" width="9.140625" style="13"/>
  </cols>
  <sheetData>
    <row r="1" spans="1:9" ht="7.15" customHeight="1">
      <c r="A1" s="60"/>
      <c r="B1" s="60"/>
      <c r="C1" s="60"/>
      <c r="D1" s="60"/>
      <c r="E1" s="60"/>
      <c r="F1" s="60"/>
    </row>
    <row r="2" spans="1:9" ht="7.5" customHeight="1">
      <c r="A2" s="49"/>
    </row>
    <row r="3" spans="1:9" ht="4.5" hidden="1" customHeight="1">
      <c r="A3" s="49"/>
    </row>
    <row r="4" spans="1:9" ht="51" customHeight="1">
      <c r="A4" s="61" t="s">
        <v>71</v>
      </c>
      <c r="B4" s="61"/>
      <c r="C4" s="61"/>
      <c r="D4" s="61"/>
      <c r="E4" s="61"/>
      <c r="F4" s="61"/>
    </row>
    <row r="5" spans="1:9" ht="19.5" customHeight="1">
      <c r="A5" s="62"/>
      <c r="B5" s="62"/>
      <c r="C5" s="62"/>
      <c r="D5" s="62"/>
      <c r="E5" s="62"/>
      <c r="F5" s="62"/>
    </row>
    <row r="6" spans="1:9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74</v>
      </c>
    </row>
    <row r="7" spans="1:9" ht="21.75" customHeight="1">
      <c r="A7" s="63"/>
      <c r="B7" s="66"/>
      <c r="C7" s="67"/>
      <c r="D7" s="66"/>
      <c r="E7" s="67"/>
      <c r="F7" s="63"/>
    </row>
    <row r="8" spans="1:9" ht="21.75" customHeight="1">
      <c r="A8" s="63"/>
      <c r="B8" s="20" t="s">
        <v>72</v>
      </c>
      <c r="C8" s="20" t="s">
        <v>73</v>
      </c>
      <c r="D8" s="20" t="s">
        <v>72</v>
      </c>
      <c r="E8" s="20" t="s">
        <v>73</v>
      </c>
      <c r="F8" s="63"/>
    </row>
    <row r="9" spans="1:9" ht="15" customHeight="1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</row>
    <row r="10" spans="1:9" ht="21.75" customHeight="1">
      <c r="A10" s="70" t="s">
        <v>38</v>
      </c>
      <c r="B10" s="71"/>
      <c r="C10" s="71"/>
      <c r="D10" s="71"/>
      <c r="E10" s="71"/>
      <c r="F10" s="72"/>
    </row>
    <row r="11" spans="1:9" ht="16.5" customHeight="1">
      <c r="A11" s="70" t="s">
        <v>1</v>
      </c>
      <c r="B11" s="71"/>
      <c r="C11" s="71"/>
      <c r="D11" s="71"/>
      <c r="E11" s="71"/>
      <c r="F11" s="72"/>
    </row>
    <row r="12" spans="1:9" ht="24" customHeight="1">
      <c r="A12" s="1" t="s">
        <v>7</v>
      </c>
      <c r="B12" s="48">
        <f>1165+67+0</f>
        <v>1232</v>
      </c>
      <c r="C12" s="48">
        <f>1724+50+0</f>
        <v>1774</v>
      </c>
      <c r="D12" s="2">
        <f>585812+49000+4380</f>
        <v>639192</v>
      </c>
      <c r="E12" s="2">
        <f>851005+42495+5850</f>
        <v>899350</v>
      </c>
      <c r="F12" s="2">
        <f>E12-D12</f>
        <v>260158</v>
      </c>
      <c r="G12" s="17"/>
      <c r="I12" s="17"/>
    </row>
    <row r="13" spans="1:9" ht="24" customHeight="1">
      <c r="A13" s="1" t="s">
        <v>8</v>
      </c>
      <c r="B13" s="50">
        <f>808+0</f>
        <v>808</v>
      </c>
      <c r="C13" s="50">
        <f>717+0</f>
        <v>717</v>
      </c>
      <c r="D13" s="2">
        <f>411274+7730+135</f>
        <v>419139</v>
      </c>
      <c r="E13" s="2">
        <f>286275+21255+1745</f>
        <v>309275</v>
      </c>
      <c r="F13" s="2">
        <f t="shared" ref="F13:F19" si="0">E13-D13</f>
        <v>-109864</v>
      </c>
      <c r="G13" s="17"/>
      <c r="I13" s="17"/>
    </row>
    <row r="14" spans="1:9" ht="24" customHeight="1">
      <c r="A14" s="1" t="s">
        <v>9</v>
      </c>
      <c r="B14" s="50">
        <f>0+0</f>
        <v>0</v>
      </c>
      <c r="C14" s="50">
        <f>211+0</f>
        <v>211</v>
      </c>
      <c r="D14" s="2">
        <f>0+0</f>
        <v>0</v>
      </c>
      <c r="E14" s="2">
        <f>142974+2889+290</f>
        <v>146153</v>
      </c>
      <c r="F14" s="2">
        <f t="shared" si="0"/>
        <v>146153</v>
      </c>
      <c r="G14" s="17"/>
      <c r="I14" s="17"/>
    </row>
    <row r="15" spans="1:9" ht="24" customHeight="1">
      <c r="A15" s="1" t="s">
        <v>29</v>
      </c>
      <c r="B15" s="50">
        <f>2958+0</f>
        <v>2958</v>
      </c>
      <c r="C15" s="50">
        <f>3227+1</f>
        <v>3228</v>
      </c>
      <c r="D15" s="2">
        <f>1412531.2+89710+39709</f>
        <v>1541950.2</v>
      </c>
      <c r="E15" s="2">
        <f>1847046.64+51900+44521</f>
        <v>1943467.64</v>
      </c>
      <c r="F15" s="2">
        <f t="shared" si="0"/>
        <v>401517.43999999994</v>
      </c>
      <c r="G15" s="17"/>
      <c r="I15" s="17"/>
    </row>
    <row r="16" spans="1:9" ht="24" customHeight="1">
      <c r="A16" s="1" t="s">
        <v>10</v>
      </c>
      <c r="B16" s="39">
        <f>716+0</f>
        <v>716</v>
      </c>
      <c r="C16" s="39">
        <f>1428+0</f>
        <v>1428</v>
      </c>
      <c r="D16" s="2">
        <f>127846+873+903</f>
        <v>129622</v>
      </c>
      <c r="E16" s="2">
        <f>639253+4011+2643</f>
        <v>645907</v>
      </c>
      <c r="F16" s="2">
        <f t="shared" si="0"/>
        <v>516285</v>
      </c>
      <c r="G16" s="17"/>
      <c r="I16" s="17"/>
    </row>
    <row r="17" spans="1:9" ht="34.15" customHeight="1">
      <c r="A17" s="1" t="s">
        <v>64</v>
      </c>
      <c r="B17" s="50">
        <f>620+0</f>
        <v>620</v>
      </c>
      <c r="C17" s="50">
        <f>733+0</f>
        <v>733</v>
      </c>
      <c r="D17" s="2">
        <f>410297+0</f>
        <v>410297</v>
      </c>
      <c r="E17" s="2">
        <f>378293+2057</f>
        <v>380350</v>
      </c>
      <c r="F17" s="2">
        <f t="shared" si="0"/>
        <v>-29947</v>
      </c>
      <c r="G17" s="17"/>
      <c r="I17" s="17"/>
    </row>
    <row r="18" spans="1:9" ht="24" customHeight="1">
      <c r="A18" s="1" t="s">
        <v>11</v>
      </c>
      <c r="B18" s="50">
        <f>555+0</f>
        <v>555</v>
      </c>
      <c r="C18" s="50">
        <f>492+0</f>
        <v>492</v>
      </c>
      <c r="D18" s="2">
        <f>240278+40+0</f>
        <v>240318</v>
      </c>
      <c r="E18" s="2">
        <f>208248+930+2000</f>
        <v>211178</v>
      </c>
      <c r="F18" s="2">
        <f t="shared" si="0"/>
        <v>-29140</v>
      </c>
      <c r="G18" s="17"/>
      <c r="I18" s="17"/>
    </row>
    <row r="19" spans="1:9" ht="24" customHeight="1">
      <c r="A19" s="1" t="s">
        <v>12</v>
      </c>
      <c r="B19" s="50">
        <v>284</v>
      </c>
      <c r="C19" s="50">
        <v>220</v>
      </c>
      <c r="D19" s="2">
        <f>75179+0</f>
        <v>75179</v>
      </c>
      <c r="E19" s="2">
        <f>93075+248+0</f>
        <v>93323</v>
      </c>
      <c r="F19" s="2">
        <f t="shared" si="0"/>
        <v>18144</v>
      </c>
      <c r="G19" s="17"/>
      <c r="I19" s="17"/>
    </row>
    <row r="20" spans="1:9" ht="24" customHeight="1">
      <c r="A20" s="3" t="s">
        <v>33</v>
      </c>
      <c r="B20" s="14">
        <f>SUM(B12:B19)</f>
        <v>7173</v>
      </c>
      <c r="C20" s="14">
        <f>SUM(C12:C19)</f>
        <v>8803</v>
      </c>
      <c r="D20" s="7">
        <f>SUM(D12:D19)</f>
        <v>3455697.2</v>
      </c>
      <c r="E20" s="7">
        <f>SUM(E12:E19)</f>
        <v>4629003.6399999997</v>
      </c>
      <c r="F20" s="7">
        <f>SUM(F12:F19)</f>
        <v>1173306.44</v>
      </c>
      <c r="G20" s="17"/>
      <c r="I20" s="17"/>
    </row>
    <row r="21" spans="1:9" ht="24" customHeight="1">
      <c r="A21" s="73" t="s">
        <v>13</v>
      </c>
      <c r="B21" s="74"/>
      <c r="C21" s="74"/>
      <c r="D21" s="74"/>
      <c r="E21" s="74"/>
      <c r="F21" s="75"/>
      <c r="G21" s="17"/>
      <c r="I21" s="17"/>
    </row>
    <row r="22" spans="1:9" ht="24" customHeight="1">
      <c r="A22" s="1" t="s">
        <v>14</v>
      </c>
      <c r="B22" s="50">
        <f>374+0</f>
        <v>374</v>
      </c>
      <c r="C22" s="50">
        <f>384+0</f>
        <v>384</v>
      </c>
      <c r="D22" s="2">
        <f>247491.74+0</f>
        <v>247491.74</v>
      </c>
      <c r="E22" s="2">
        <f>402851+0</f>
        <v>402851</v>
      </c>
      <c r="F22" s="2">
        <f>E22-D22</f>
        <v>155359.26</v>
      </c>
      <c r="G22" s="17"/>
      <c r="I22" s="17"/>
    </row>
    <row r="23" spans="1:9" ht="24" customHeight="1">
      <c r="A23" s="1" t="s">
        <v>15</v>
      </c>
      <c r="B23" s="50">
        <v>69</v>
      </c>
      <c r="C23" s="50">
        <v>80</v>
      </c>
      <c r="D23" s="2">
        <f>236074+5072.35</f>
        <v>241146.35</v>
      </c>
      <c r="E23" s="2">
        <f>299508.15+0</f>
        <v>299508.15000000002</v>
      </c>
      <c r="F23" s="2">
        <f>E23-D23</f>
        <v>58361.800000000017</v>
      </c>
      <c r="G23" s="17"/>
      <c r="I23" s="17"/>
    </row>
    <row r="24" spans="1:9" ht="24" customHeight="1">
      <c r="A24" s="1" t="s">
        <v>16</v>
      </c>
      <c r="B24" s="50">
        <v>38</v>
      </c>
      <c r="C24" s="50">
        <v>54</v>
      </c>
      <c r="D24" s="2">
        <f>158180+0</f>
        <v>158180</v>
      </c>
      <c r="E24" s="2">
        <f>110774.4+422.2</f>
        <v>111196.59999999999</v>
      </c>
      <c r="F24" s="2">
        <f t="shared" ref="F24:F32" si="1">E24-D24</f>
        <v>-46983.400000000009</v>
      </c>
      <c r="G24" s="17"/>
      <c r="I24" s="17"/>
    </row>
    <row r="25" spans="1:9" ht="24" customHeight="1">
      <c r="A25" s="1" t="s">
        <v>17</v>
      </c>
      <c r="B25" s="50">
        <f>175+0</f>
        <v>175</v>
      </c>
      <c r="C25" s="50">
        <f>742+0</f>
        <v>742</v>
      </c>
      <c r="D25" s="2">
        <f>321484+0</f>
        <v>321484</v>
      </c>
      <c r="E25" s="2">
        <f>487318.8+0</f>
        <v>487318.8</v>
      </c>
      <c r="F25" s="2">
        <f t="shared" si="1"/>
        <v>165834.79999999999</v>
      </c>
      <c r="G25" s="17"/>
      <c r="I25" s="17"/>
    </row>
    <row r="26" spans="1:9" ht="24" customHeight="1">
      <c r="A26" s="1" t="s">
        <v>18</v>
      </c>
      <c r="B26" s="50">
        <v>18</v>
      </c>
      <c r="C26" s="50">
        <v>11</v>
      </c>
      <c r="D26" s="2">
        <f>28560+0</f>
        <v>28560</v>
      </c>
      <c r="E26" s="2">
        <v>31160</v>
      </c>
      <c r="F26" s="2">
        <f t="shared" si="1"/>
        <v>2600</v>
      </c>
      <c r="G26" s="17"/>
      <c r="I26" s="17"/>
    </row>
    <row r="27" spans="1:9" ht="24" customHeight="1">
      <c r="A27" s="1" t="s">
        <v>19</v>
      </c>
      <c r="B27" s="50">
        <f>111+0</f>
        <v>111</v>
      </c>
      <c r="C27" s="50">
        <f>90+0</f>
        <v>90</v>
      </c>
      <c r="D27" s="2">
        <f>21522.77+0</f>
        <v>21522.77</v>
      </c>
      <c r="E27" s="2">
        <f>15622+0</f>
        <v>15622</v>
      </c>
      <c r="F27" s="2">
        <f t="shared" si="1"/>
        <v>-5900.77</v>
      </c>
      <c r="G27" s="17"/>
      <c r="I27" s="17"/>
    </row>
    <row r="28" spans="1:9" ht="24" customHeight="1">
      <c r="A28" s="1" t="s">
        <v>20</v>
      </c>
      <c r="B28" s="50">
        <f>49+0</f>
        <v>49</v>
      </c>
      <c r="C28" s="50">
        <f>66+0</f>
        <v>66</v>
      </c>
      <c r="D28" s="2">
        <f>72183.73+0</f>
        <v>72183.73</v>
      </c>
      <c r="E28" s="2">
        <f>113087.05+0</f>
        <v>113087.05</v>
      </c>
      <c r="F28" s="2">
        <f t="shared" si="1"/>
        <v>40903.320000000007</v>
      </c>
      <c r="G28" s="17"/>
      <c r="I28" s="17"/>
    </row>
    <row r="29" spans="1:9" ht="24" customHeight="1">
      <c r="A29" s="1" t="s">
        <v>21</v>
      </c>
      <c r="B29" s="50">
        <f>17+0</f>
        <v>17</v>
      </c>
      <c r="C29" s="50">
        <f>19+0</f>
        <v>19</v>
      </c>
      <c r="D29" s="2">
        <f>25304+0</f>
        <v>25304</v>
      </c>
      <c r="E29" s="2">
        <f>31312+0</f>
        <v>31312</v>
      </c>
      <c r="F29" s="2">
        <f t="shared" si="1"/>
        <v>6008</v>
      </c>
      <c r="G29" s="17"/>
      <c r="I29" s="17"/>
    </row>
    <row r="30" spans="1:9" ht="24" customHeight="1">
      <c r="A30" s="1" t="s">
        <v>22</v>
      </c>
      <c r="B30" s="50">
        <f>17+0</f>
        <v>17</v>
      </c>
      <c r="C30" s="50">
        <f>10+0</f>
        <v>10</v>
      </c>
      <c r="D30" s="2">
        <f>30420+0</f>
        <v>30420</v>
      </c>
      <c r="E30" s="2">
        <f>13320+0</f>
        <v>13320</v>
      </c>
      <c r="F30" s="2">
        <f t="shared" si="1"/>
        <v>-17100</v>
      </c>
      <c r="G30" s="17"/>
      <c r="I30" s="17"/>
    </row>
    <row r="31" spans="1:9" ht="24" customHeight="1">
      <c r="A31" s="1" t="s">
        <v>23</v>
      </c>
      <c r="B31" s="50">
        <f>11+0</f>
        <v>11</v>
      </c>
      <c r="C31" s="50">
        <f>0+0</f>
        <v>0</v>
      </c>
      <c r="D31" s="2">
        <f>12600+0</f>
        <v>12600</v>
      </c>
      <c r="E31" s="2">
        <f>0+0</f>
        <v>0</v>
      </c>
      <c r="F31" s="2">
        <f t="shared" si="1"/>
        <v>-12600</v>
      </c>
      <c r="G31" s="17"/>
      <c r="I31" s="17"/>
    </row>
    <row r="32" spans="1:9" ht="24" customHeight="1">
      <c r="A32" s="1" t="s">
        <v>24</v>
      </c>
      <c r="B32" s="50">
        <v>6</v>
      </c>
      <c r="C32" s="50">
        <v>27</v>
      </c>
      <c r="D32" s="2">
        <f>24160+0</f>
        <v>24160</v>
      </c>
      <c r="E32" s="2">
        <v>126585</v>
      </c>
      <c r="F32" s="2">
        <f t="shared" si="1"/>
        <v>102425</v>
      </c>
      <c r="G32" s="17"/>
      <c r="I32" s="17"/>
    </row>
    <row r="33" spans="1:11" ht="24" customHeight="1">
      <c r="A33" s="3" t="s">
        <v>37</v>
      </c>
      <c r="B33" s="14">
        <f t="shared" ref="B33:F33" si="2">SUM(B22:B32)</f>
        <v>885</v>
      </c>
      <c r="C33" s="14">
        <f t="shared" si="2"/>
        <v>1483</v>
      </c>
      <c r="D33" s="7">
        <f t="shared" si="2"/>
        <v>1183052.5900000001</v>
      </c>
      <c r="E33" s="7">
        <f t="shared" si="2"/>
        <v>1631960.6</v>
      </c>
      <c r="F33" s="7">
        <f t="shared" si="2"/>
        <v>448908.01</v>
      </c>
      <c r="G33" s="17"/>
      <c r="I33" s="17"/>
    </row>
    <row r="34" spans="1:11" ht="24" customHeight="1">
      <c r="A34" s="76" t="s">
        <v>25</v>
      </c>
      <c r="B34" s="77"/>
      <c r="C34" s="77"/>
      <c r="D34" s="77"/>
      <c r="E34" s="77"/>
      <c r="F34" s="78"/>
      <c r="G34" s="17"/>
      <c r="I34" s="17"/>
    </row>
    <row r="35" spans="1:11" ht="24" customHeight="1">
      <c r="A35" s="1" t="s">
        <v>26</v>
      </c>
      <c r="B35" s="50">
        <f>144225+27238+27251</f>
        <v>198714</v>
      </c>
      <c r="C35" s="50">
        <f>191137+26834+26731</f>
        <v>244702</v>
      </c>
      <c r="D35" s="2">
        <f>9648413.79+1861403.44+1544060.3</f>
        <v>13053877.529999999</v>
      </c>
      <c r="E35" s="2">
        <f>12960175.99+2124011.96+2272187.26</f>
        <v>17356375.210000001</v>
      </c>
      <c r="F35" s="2">
        <f>E35-D35</f>
        <v>4302497.6800000016</v>
      </c>
      <c r="G35" s="17"/>
      <c r="I35" s="17"/>
      <c r="K35" s="17"/>
    </row>
    <row r="36" spans="1:11" ht="24" customHeight="1">
      <c r="A36" s="1" t="s">
        <v>27</v>
      </c>
      <c r="B36" s="50">
        <f>3669+330+669</f>
        <v>4668</v>
      </c>
      <c r="C36" s="50">
        <f>3127+448+592</f>
        <v>4167</v>
      </c>
      <c r="D36" s="2">
        <f>724579.16+45300+82500</f>
        <v>852379.16</v>
      </c>
      <c r="E36" s="2">
        <f>753011.62+55657.21+86650</f>
        <v>895318.83</v>
      </c>
      <c r="F36" s="2">
        <f t="shared" ref="F36:F37" si="3">E36-D36</f>
        <v>42939.669999999925</v>
      </c>
      <c r="G36" s="17"/>
      <c r="I36" s="17"/>
      <c r="K36" s="17"/>
    </row>
    <row r="37" spans="1:11" ht="24" customHeight="1">
      <c r="A37" s="34" t="s">
        <v>28</v>
      </c>
      <c r="B37" s="50">
        <f>151+22+23</f>
        <v>196</v>
      </c>
      <c r="C37" s="50">
        <f>161+30+31</f>
        <v>222</v>
      </c>
      <c r="D37" s="2">
        <f>636867.32+87949+88172</f>
        <v>812988.32</v>
      </c>
      <c r="E37" s="2">
        <f>582825.06+130747.45+80097</f>
        <v>793669.51</v>
      </c>
      <c r="F37" s="2">
        <f t="shared" si="3"/>
        <v>-19318.809999999939</v>
      </c>
      <c r="G37" s="17"/>
      <c r="I37" s="17"/>
      <c r="K37" s="17"/>
    </row>
    <row r="38" spans="1:11" ht="31.5">
      <c r="A38" s="3" t="s">
        <v>34</v>
      </c>
      <c r="B38" s="14">
        <f>SUM(B35:B37)</f>
        <v>203578</v>
      </c>
      <c r="C38" s="14">
        <f>SUM(C35:C37)</f>
        <v>249091</v>
      </c>
      <c r="D38" s="7">
        <f>SUM(D35:D37)</f>
        <v>14719245.01</v>
      </c>
      <c r="E38" s="7">
        <f>SUM(E35:E37)</f>
        <v>19045363.550000001</v>
      </c>
      <c r="F38" s="7">
        <f>SUM(F35:F37)</f>
        <v>4326118.5400000019</v>
      </c>
      <c r="G38" s="17"/>
      <c r="I38" s="17"/>
      <c r="J38" s="17"/>
      <c r="K38" s="17"/>
    </row>
    <row r="39" spans="1:11" ht="31.5">
      <c r="A39" s="4" t="s">
        <v>35</v>
      </c>
      <c r="B39" s="14">
        <f>B20+B33+B38</f>
        <v>211636</v>
      </c>
      <c r="C39" s="14">
        <f>C20+C33+C38</f>
        <v>259377</v>
      </c>
      <c r="D39" s="7">
        <f>D20+D33+D38</f>
        <v>19357994.800000001</v>
      </c>
      <c r="E39" s="7">
        <f>E20+E33+E38</f>
        <v>25306327.789999999</v>
      </c>
      <c r="F39" s="7">
        <f>F20+F33+F38</f>
        <v>5948332.9900000021</v>
      </c>
      <c r="G39" s="17"/>
      <c r="I39" s="17"/>
      <c r="K39" s="17"/>
    </row>
    <row r="40" spans="1:11" ht="15.75">
      <c r="A40" s="70" t="s">
        <v>42</v>
      </c>
      <c r="B40" s="71"/>
      <c r="C40" s="71"/>
      <c r="D40" s="71"/>
      <c r="E40" s="71"/>
      <c r="F40" s="72"/>
      <c r="G40" s="17"/>
      <c r="I40" s="17"/>
    </row>
    <row r="41" spans="1:11" ht="24" customHeight="1">
      <c r="A41" s="1" t="s">
        <v>75</v>
      </c>
      <c r="B41" s="5">
        <f>11363.77+2588.23+1036.94</f>
        <v>14988.94</v>
      </c>
      <c r="C41" s="5">
        <f>13413.04+1413.33+1562.55</f>
        <v>16388.920000000002</v>
      </c>
      <c r="D41" s="2">
        <f>4648276.68+766363.6+330692.67</f>
        <v>5745332.9499999993</v>
      </c>
      <c r="E41" s="2">
        <f>5498176.63+20161.55+50000+468032.98+462986.34</f>
        <v>6499357.5</v>
      </c>
      <c r="F41" s="2">
        <f>E41-D41</f>
        <v>754024.55000000075</v>
      </c>
      <c r="G41" s="17"/>
      <c r="I41" s="17"/>
    </row>
    <row r="42" spans="1:11" ht="24" customHeight="1">
      <c r="A42" s="1" t="s">
        <v>32</v>
      </c>
      <c r="B42" s="50">
        <f>2088+8+0</f>
        <v>2096</v>
      </c>
      <c r="C42" s="50">
        <f>11437+466+523</f>
        <v>12426</v>
      </c>
      <c r="D42" s="2">
        <f>1877515+3240+0</f>
        <v>1880755</v>
      </c>
      <c r="E42" s="51">
        <f>3141161+187610+131030</f>
        <v>3459801</v>
      </c>
      <c r="F42" s="2">
        <f t="shared" ref="F42:F46" si="4">E42-D42</f>
        <v>1579046</v>
      </c>
      <c r="G42" s="17"/>
      <c r="I42" s="17"/>
    </row>
    <row r="43" spans="1:11" ht="24" customHeight="1">
      <c r="A43" s="1" t="s">
        <v>3</v>
      </c>
      <c r="B43" s="5">
        <f>3793+907+204</f>
        <v>4904</v>
      </c>
      <c r="C43" s="5">
        <f>4550+502+404</f>
        <v>5456</v>
      </c>
      <c r="D43" s="2">
        <f>404170+42197+13087</f>
        <v>459454</v>
      </c>
      <c r="E43" s="2">
        <f>486793+51902+27688</f>
        <v>566383</v>
      </c>
      <c r="F43" s="2">
        <f t="shared" si="4"/>
        <v>106929</v>
      </c>
      <c r="G43" s="17"/>
      <c r="I43" s="17"/>
    </row>
    <row r="44" spans="1:11" ht="24" customHeight="1">
      <c r="A44" s="1" t="s">
        <v>4</v>
      </c>
      <c r="B44" s="5">
        <f>7607+116+479</f>
        <v>8202</v>
      </c>
      <c r="C44" s="5">
        <f>8318+3590+670</f>
        <v>12578</v>
      </c>
      <c r="D44" s="2">
        <f>888780+21450+79217</f>
        <v>989447</v>
      </c>
      <c r="E44" s="2">
        <f>1155660+39000+84200</f>
        <v>1278860</v>
      </c>
      <c r="F44" s="2">
        <f t="shared" si="4"/>
        <v>289413</v>
      </c>
      <c r="G44" s="17"/>
      <c r="I44" s="17"/>
    </row>
    <row r="45" spans="1:11" ht="24" customHeight="1">
      <c r="A45" s="1" t="s">
        <v>2</v>
      </c>
      <c r="B45" s="50">
        <f>991+0</f>
        <v>991</v>
      </c>
      <c r="C45" s="50">
        <f>1467+1</f>
        <v>1468</v>
      </c>
      <c r="D45" s="2">
        <f>692080+9530+0</f>
        <v>701610</v>
      </c>
      <c r="E45" s="2">
        <f>1225269.14-4130+0</f>
        <v>1221139.1399999999</v>
      </c>
      <c r="F45" s="2">
        <f t="shared" si="4"/>
        <v>519529.1399999999</v>
      </c>
      <c r="G45" s="17"/>
      <c r="I45" s="17"/>
    </row>
    <row r="46" spans="1:11" ht="24" customHeight="1">
      <c r="A46" s="1" t="s">
        <v>5</v>
      </c>
      <c r="B46" s="5">
        <f>35176+11657+8886</f>
        <v>55719</v>
      </c>
      <c r="C46" s="5">
        <f>24669+7122+7708</f>
        <v>39499</v>
      </c>
      <c r="D46" s="2">
        <f>5830600+1331600+1040350</f>
        <v>8202550</v>
      </c>
      <c r="E46" s="2">
        <f>5803070+1219150+1034950</f>
        <v>8057170</v>
      </c>
      <c r="F46" s="2">
        <f t="shared" si="4"/>
        <v>-145380</v>
      </c>
      <c r="G46" s="17"/>
      <c r="I46" s="17"/>
    </row>
    <row r="47" spans="1:11" ht="32.450000000000003" customHeight="1">
      <c r="A47" s="6" t="s">
        <v>43</v>
      </c>
      <c r="B47" s="8">
        <f>SUM(B41:B46)</f>
        <v>86900.94</v>
      </c>
      <c r="C47" s="8">
        <f>SUM(C41:C46)</f>
        <v>87815.92</v>
      </c>
      <c r="D47" s="7">
        <f>SUM(D41:D46)</f>
        <v>17979148.949999999</v>
      </c>
      <c r="E47" s="7">
        <f>SUM(E41:E46)</f>
        <v>21082710.640000001</v>
      </c>
      <c r="F47" s="7">
        <f>SUM(F41:F46)</f>
        <v>3103561.6900000004</v>
      </c>
      <c r="G47" s="17"/>
      <c r="I47" s="17"/>
    </row>
    <row r="48" spans="1:11" ht="24" customHeight="1">
      <c r="A48" s="70" t="s">
        <v>65</v>
      </c>
      <c r="B48" s="71"/>
      <c r="C48" s="71"/>
      <c r="D48" s="71"/>
      <c r="E48" s="71"/>
      <c r="F48" s="72"/>
      <c r="G48" s="17"/>
      <c r="I48" s="17"/>
    </row>
    <row r="49" spans="1:9" ht="24" customHeight="1">
      <c r="A49" s="1" t="s">
        <v>31</v>
      </c>
      <c r="B49" s="5">
        <f>19+6</f>
        <v>25</v>
      </c>
      <c r="C49" s="5">
        <f>58+2+35</f>
        <v>95</v>
      </c>
      <c r="D49" s="2">
        <f>62500+2500</f>
        <v>65000</v>
      </c>
      <c r="E49" s="2">
        <f>54500+9000+17500</f>
        <v>81000</v>
      </c>
      <c r="F49" s="2">
        <f>E49-D49</f>
        <v>16000</v>
      </c>
      <c r="G49" s="17"/>
      <c r="I49" s="17"/>
    </row>
    <row r="50" spans="1:9" ht="32.450000000000003" customHeight="1">
      <c r="A50" s="6" t="s">
        <v>66</v>
      </c>
      <c r="B50" s="8">
        <f>B49</f>
        <v>25</v>
      </c>
      <c r="C50" s="8">
        <f t="shared" ref="C50:F50" si="5">C49</f>
        <v>95</v>
      </c>
      <c r="D50" s="7">
        <f t="shared" si="5"/>
        <v>65000</v>
      </c>
      <c r="E50" s="7">
        <f>E49</f>
        <v>81000</v>
      </c>
      <c r="F50" s="7">
        <f t="shared" si="5"/>
        <v>16000</v>
      </c>
      <c r="G50" s="17"/>
      <c r="I50" s="17"/>
    </row>
    <row r="51" spans="1:9" ht="42.6" customHeight="1">
      <c r="A51" s="4" t="s">
        <v>36</v>
      </c>
      <c r="B51" s="8">
        <f>B39+B47+B50</f>
        <v>298561.94</v>
      </c>
      <c r="C51" s="8">
        <f t="shared" ref="C51:E51" si="6">C39+C47+C50</f>
        <v>347287.92</v>
      </c>
      <c r="D51" s="7">
        <f t="shared" si="6"/>
        <v>37402143.75</v>
      </c>
      <c r="E51" s="7">
        <f t="shared" si="6"/>
        <v>46470038.43</v>
      </c>
      <c r="F51" s="7">
        <f>F50+F47+F39</f>
        <v>9067894.6800000034</v>
      </c>
      <c r="G51" s="17"/>
      <c r="I51" s="17"/>
    </row>
    <row r="52" spans="1:9" ht="42.6" customHeight="1">
      <c r="A52" s="68" t="s">
        <v>76</v>
      </c>
      <c r="B52" s="68"/>
      <c r="C52" s="68"/>
      <c r="D52" s="68"/>
      <c r="E52" s="68"/>
      <c r="F52" s="68"/>
      <c r="G52" s="17"/>
      <c r="I52" s="17"/>
    </row>
    <row r="53" spans="1:9" s="15" customFormat="1" ht="28.5" customHeight="1">
      <c r="A53" s="16"/>
      <c r="B53" s="17"/>
      <c r="C53" s="17"/>
      <c r="D53" s="17"/>
      <c r="E53" s="17"/>
      <c r="F53" s="13"/>
    </row>
    <row r="54" spans="1:9" ht="60.75" customHeight="1">
      <c r="A54" s="19"/>
      <c r="E54" s="17"/>
      <c r="G54" s="18"/>
    </row>
    <row r="55" spans="1:9">
      <c r="A55" s="69"/>
      <c r="B55" s="69"/>
      <c r="C55" s="69"/>
      <c r="D55" s="69"/>
      <c r="E55" s="69"/>
      <c r="F55" s="69"/>
    </row>
    <row r="56" spans="1:9" hidden="1"/>
  </sheetData>
  <mergeCells count="14">
    <mergeCell ref="A1:F1"/>
    <mergeCell ref="A4:F5"/>
    <mergeCell ref="A6:A8"/>
    <mergeCell ref="B6:C7"/>
    <mergeCell ref="D6:E7"/>
    <mergeCell ref="F6:F8"/>
    <mergeCell ref="A55:F55"/>
    <mergeCell ref="A52:F52"/>
    <mergeCell ref="A10:F10"/>
    <mergeCell ref="A11:F11"/>
    <mergeCell ref="A21:F21"/>
    <mergeCell ref="A34:F34"/>
    <mergeCell ref="A40:F40"/>
    <mergeCell ref="A48:F48"/>
  </mergeCells>
  <pageMargins left="0.7" right="0" top="0.34" bottom="0.39370078740157483" header="0" footer="0"/>
  <pageSetup paperSize="9" scale="6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6"/>
  <sheetViews>
    <sheetView view="pageBreakPreview" topLeftCell="A27" zoomScale="70" zoomScaleSheetLayoutView="70" workbookViewId="0">
      <selection activeCell="E41" sqref="E41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5.42578125" style="13" customWidth="1"/>
    <col min="8" max="8" width="9.140625" style="13"/>
    <col min="9" max="9" width="15" style="13" customWidth="1"/>
    <col min="10" max="16384" width="9.140625" style="13"/>
  </cols>
  <sheetData>
    <row r="1" spans="1:9" ht="7.15" customHeight="1">
      <c r="A1" s="60"/>
      <c r="B1" s="60"/>
      <c r="C1" s="60"/>
      <c r="D1" s="60"/>
      <c r="E1" s="60"/>
      <c r="F1" s="60"/>
    </row>
    <row r="2" spans="1:9" ht="7.5" customHeight="1">
      <c r="A2" s="46"/>
    </row>
    <row r="3" spans="1:9" ht="4.5" hidden="1" customHeight="1">
      <c r="A3" s="46"/>
    </row>
    <row r="4" spans="1:9" ht="51" customHeight="1">
      <c r="A4" s="61" t="s">
        <v>71</v>
      </c>
      <c r="B4" s="61"/>
      <c r="C4" s="61"/>
      <c r="D4" s="61"/>
      <c r="E4" s="61"/>
      <c r="F4" s="61"/>
    </row>
    <row r="5" spans="1:9" ht="19.5" customHeight="1">
      <c r="A5" s="62"/>
      <c r="B5" s="62"/>
      <c r="C5" s="62"/>
      <c r="D5" s="62"/>
      <c r="E5" s="62"/>
      <c r="F5" s="62"/>
    </row>
    <row r="6" spans="1:9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74</v>
      </c>
    </row>
    <row r="7" spans="1:9" ht="21.75" customHeight="1">
      <c r="A7" s="63"/>
      <c r="B7" s="66"/>
      <c r="C7" s="67"/>
      <c r="D7" s="66"/>
      <c r="E7" s="67"/>
      <c r="F7" s="63"/>
    </row>
    <row r="8" spans="1:9" ht="21.75" customHeight="1">
      <c r="A8" s="63"/>
      <c r="B8" s="20" t="s">
        <v>72</v>
      </c>
      <c r="C8" s="20" t="s">
        <v>73</v>
      </c>
      <c r="D8" s="20" t="s">
        <v>72</v>
      </c>
      <c r="E8" s="20" t="s">
        <v>73</v>
      </c>
      <c r="F8" s="63"/>
    </row>
    <row r="9" spans="1:9" ht="15" customHeight="1">
      <c r="A9" s="47">
        <v>1</v>
      </c>
      <c r="B9" s="47">
        <v>2</v>
      </c>
      <c r="C9" s="47">
        <v>3</v>
      </c>
      <c r="D9" s="47">
        <v>4</v>
      </c>
      <c r="E9" s="47">
        <v>5</v>
      </c>
      <c r="F9" s="47">
        <v>6</v>
      </c>
    </row>
    <row r="10" spans="1:9" ht="21.75" customHeight="1">
      <c r="A10" s="70" t="s">
        <v>38</v>
      </c>
      <c r="B10" s="71"/>
      <c r="C10" s="71"/>
      <c r="D10" s="71"/>
      <c r="E10" s="71"/>
      <c r="F10" s="72"/>
    </row>
    <row r="11" spans="1:9" ht="16.5" customHeight="1">
      <c r="A11" s="70" t="s">
        <v>1</v>
      </c>
      <c r="B11" s="71"/>
      <c r="C11" s="71"/>
      <c r="D11" s="71"/>
      <c r="E11" s="71"/>
      <c r="F11" s="72"/>
    </row>
    <row r="12" spans="1:9" ht="24" customHeight="1">
      <c r="A12" s="1" t="s">
        <v>7</v>
      </c>
      <c r="B12" s="48">
        <f>1165+67+0</f>
        <v>1232</v>
      </c>
      <c r="C12" s="48">
        <f>1724+50+0</f>
        <v>1774</v>
      </c>
      <c r="D12" s="2">
        <f>585812+49000+4380</f>
        <v>639192</v>
      </c>
      <c r="E12" s="2">
        <f>851005+42495+5850</f>
        <v>899350</v>
      </c>
      <c r="F12" s="2">
        <f>E12-D12</f>
        <v>260158</v>
      </c>
      <c r="G12" s="17"/>
      <c r="I12" s="17"/>
    </row>
    <row r="13" spans="1:9" ht="24" customHeight="1">
      <c r="A13" s="1" t="s">
        <v>8</v>
      </c>
      <c r="B13" s="47">
        <f>808+0</f>
        <v>808</v>
      </c>
      <c r="C13" s="47">
        <f>717+0</f>
        <v>717</v>
      </c>
      <c r="D13" s="2">
        <f>411274+7730+135</f>
        <v>419139</v>
      </c>
      <c r="E13" s="2">
        <f>286275+21255+1745</f>
        <v>309275</v>
      </c>
      <c r="F13" s="2">
        <f t="shared" ref="F13:F19" si="0">E13-D13</f>
        <v>-109864</v>
      </c>
      <c r="G13" s="17"/>
      <c r="I13" s="17"/>
    </row>
    <row r="14" spans="1:9" ht="24" customHeight="1">
      <c r="A14" s="1" t="s">
        <v>9</v>
      </c>
      <c r="B14" s="47">
        <f>0+0</f>
        <v>0</v>
      </c>
      <c r="C14" s="47">
        <f>211+0</f>
        <v>211</v>
      </c>
      <c r="D14" s="2">
        <f>0+0</f>
        <v>0</v>
      </c>
      <c r="E14" s="2">
        <f>142974+2889+290</f>
        <v>146153</v>
      </c>
      <c r="F14" s="2">
        <f t="shared" si="0"/>
        <v>146153</v>
      </c>
      <c r="G14" s="17"/>
      <c r="I14" s="17"/>
    </row>
    <row r="15" spans="1:9" ht="24" customHeight="1">
      <c r="A15" s="1" t="s">
        <v>29</v>
      </c>
      <c r="B15" s="47">
        <f>2958+0</f>
        <v>2958</v>
      </c>
      <c r="C15" s="47">
        <f>3227+1</f>
        <v>3228</v>
      </c>
      <c r="D15" s="2">
        <f>1412531.2+89710+39709</f>
        <v>1541950.2</v>
      </c>
      <c r="E15" s="2">
        <f>1847046.64+51900+44521</f>
        <v>1943467.64</v>
      </c>
      <c r="F15" s="2">
        <f t="shared" si="0"/>
        <v>401517.43999999994</v>
      </c>
      <c r="G15" s="17"/>
      <c r="I15" s="17"/>
    </row>
    <row r="16" spans="1:9" ht="24" customHeight="1">
      <c r="A16" s="1" t="s">
        <v>10</v>
      </c>
      <c r="B16" s="39">
        <f>716+0</f>
        <v>716</v>
      </c>
      <c r="C16" s="39">
        <f>1428+0</f>
        <v>1428</v>
      </c>
      <c r="D16" s="2">
        <f>127846+873+903</f>
        <v>129622</v>
      </c>
      <c r="E16" s="2">
        <f>639253+4011+2643</f>
        <v>645907</v>
      </c>
      <c r="F16" s="2">
        <f t="shared" si="0"/>
        <v>516285</v>
      </c>
      <c r="G16" s="17"/>
      <c r="I16" s="17"/>
    </row>
    <row r="17" spans="1:9" ht="34.15" customHeight="1">
      <c r="A17" s="1" t="s">
        <v>64</v>
      </c>
      <c r="B17" s="47">
        <f>620+0</f>
        <v>620</v>
      </c>
      <c r="C17" s="47">
        <f>733+0</f>
        <v>733</v>
      </c>
      <c r="D17" s="2">
        <f>410297+0</f>
        <v>410297</v>
      </c>
      <c r="E17" s="2">
        <f>378293+2057</f>
        <v>380350</v>
      </c>
      <c r="F17" s="2">
        <f t="shared" si="0"/>
        <v>-29947</v>
      </c>
      <c r="G17" s="17"/>
      <c r="I17" s="17"/>
    </row>
    <row r="18" spans="1:9" ht="24" customHeight="1">
      <c r="A18" s="1" t="s">
        <v>11</v>
      </c>
      <c r="B18" s="47">
        <f>555+0</f>
        <v>555</v>
      </c>
      <c r="C18" s="47">
        <f>492+0</f>
        <v>492</v>
      </c>
      <c r="D18" s="2">
        <f>240278+40+0</f>
        <v>240318</v>
      </c>
      <c r="E18" s="2">
        <f>208248+930+2000</f>
        <v>211178</v>
      </c>
      <c r="F18" s="2">
        <f t="shared" si="0"/>
        <v>-29140</v>
      </c>
      <c r="G18" s="17"/>
      <c r="I18" s="17"/>
    </row>
    <row r="19" spans="1:9" ht="24" customHeight="1">
      <c r="A19" s="1" t="s">
        <v>12</v>
      </c>
      <c r="B19" s="47">
        <v>284</v>
      </c>
      <c r="C19" s="47">
        <v>220</v>
      </c>
      <c r="D19" s="2">
        <f>75179+0</f>
        <v>75179</v>
      </c>
      <c r="E19" s="2">
        <f>93075+248+0</f>
        <v>93323</v>
      </c>
      <c r="F19" s="2">
        <f t="shared" si="0"/>
        <v>18144</v>
      </c>
      <c r="G19" s="17"/>
      <c r="I19" s="17"/>
    </row>
    <row r="20" spans="1:9" ht="24" customHeight="1">
      <c r="A20" s="3" t="s">
        <v>33</v>
      </c>
      <c r="B20" s="14">
        <f>SUM(B12:B19)</f>
        <v>7173</v>
      </c>
      <c r="C20" s="14">
        <f>SUM(C12:C19)</f>
        <v>8803</v>
      </c>
      <c r="D20" s="7">
        <f>SUM(D12:D19)</f>
        <v>3455697.2</v>
      </c>
      <c r="E20" s="7">
        <f>SUM(E12:E19)</f>
        <v>4629003.6399999997</v>
      </c>
      <c r="F20" s="7">
        <f>SUM(F12:F19)</f>
        <v>1173306.44</v>
      </c>
      <c r="G20" s="17"/>
      <c r="I20" s="17"/>
    </row>
    <row r="21" spans="1:9" ht="24" customHeight="1">
      <c r="A21" s="73" t="s">
        <v>13</v>
      </c>
      <c r="B21" s="74"/>
      <c r="C21" s="74"/>
      <c r="D21" s="74"/>
      <c r="E21" s="74"/>
      <c r="F21" s="75"/>
      <c r="G21" s="17"/>
      <c r="I21" s="17"/>
    </row>
    <row r="22" spans="1:9" ht="24" customHeight="1">
      <c r="A22" s="1" t="s">
        <v>14</v>
      </c>
      <c r="B22" s="47">
        <f>374+0</f>
        <v>374</v>
      </c>
      <c r="C22" s="47">
        <f>384+0</f>
        <v>384</v>
      </c>
      <c r="D22" s="2">
        <f>247491.74+0</f>
        <v>247491.74</v>
      </c>
      <c r="E22" s="2">
        <f>402851+0</f>
        <v>402851</v>
      </c>
      <c r="F22" s="2">
        <f>E22-D22</f>
        <v>155359.26</v>
      </c>
      <c r="G22" s="17"/>
      <c r="I22" s="17"/>
    </row>
    <row r="23" spans="1:9" ht="24" customHeight="1">
      <c r="A23" s="1" t="s">
        <v>15</v>
      </c>
      <c r="B23" s="47">
        <v>69</v>
      </c>
      <c r="C23" s="47">
        <v>80</v>
      </c>
      <c r="D23" s="2">
        <f>236074+5072.35</f>
        <v>241146.35</v>
      </c>
      <c r="E23" s="2">
        <f>299508.15+0</f>
        <v>299508.15000000002</v>
      </c>
      <c r="F23" s="2">
        <f>E23-D23</f>
        <v>58361.800000000017</v>
      </c>
      <c r="G23" s="17"/>
      <c r="I23" s="17"/>
    </row>
    <row r="24" spans="1:9" ht="24" customHeight="1">
      <c r="A24" s="1" t="s">
        <v>16</v>
      </c>
      <c r="B24" s="47">
        <v>38</v>
      </c>
      <c r="C24" s="47">
        <v>54</v>
      </c>
      <c r="D24" s="2">
        <f>158180+0</f>
        <v>158180</v>
      </c>
      <c r="E24" s="2">
        <f>110774.4+422.2</f>
        <v>111196.59999999999</v>
      </c>
      <c r="F24" s="2">
        <f t="shared" ref="F24:F32" si="1">E24-D24</f>
        <v>-46983.400000000009</v>
      </c>
      <c r="G24" s="17"/>
      <c r="I24" s="17"/>
    </row>
    <row r="25" spans="1:9" ht="24" customHeight="1">
      <c r="A25" s="1" t="s">
        <v>17</v>
      </c>
      <c r="B25" s="47">
        <f>175+0</f>
        <v>175</v>
      </c>
      <c r="C25" s="47">
        <f>742+0</f>
        <v>742</v>
      </c>
      <c r="D25" s="2">
        <f>321484+0</f>
        <v>321484</v>
      </c>
      <c r="E25" s="2">
        <f>487318.8+0</f>
        <v>487318.8</v>
      </c>
      <c r="F25" s="2">
        <f t="shared" si="1"/>
        <v>165834.79999999999</v>
      </c>
      <c r="G25" s="17"/>
      <c r="I25" s="17"/>
    </row>
    <row r="26" spans="1:9" ht="24" customHeight="1">
      <c r="A26" s="1" t="s">
        <v>18</v>
      </c>
      <c r="B26" s="47">
        <v>18</v>
      </c>
      <c r="C26" s="47">
        <v>11</v>
      </c>
      <c r="D26" s="2">
        <f>28560+0</f>
        <v>28560</v>
      </c>
      <c r="E26" s="2">
        <v>31160</v>
      </c>
      <c r="F26" s="2">
        <f t="shared" si="1"/>
        <v>2600</v>
      </c>
      <c r="G26" s="17"/>
      <c r="I26" s="17"/>
    </row>
    <row r="27" spans="1:9" ht="24" customHeight="1">
      <c r="A27" s="1" t="s">
        <v>19</v>
      </c>
      <c r="B27" s="47">
        <f>111+0</f>
        <v>111</v>
      </c>
      <c r="C27" s="47">
        <f>90+0</f>
        <v>90</v>
      </c>
      <c r="D27" s="2">
        <f>21522.77+0</f>
        <v>21522.77</v>
      </c>
      <c r="E27" s="2">
        <f>15622+0</f>
        <v>15622</v>
      </c>
      <c r="F27" s="2">
        <f t="shared" si="1"/>
        <v>-5900.77</v>
      </c>
      <c r="G27" s="17"/>
      <c r="I27" s="17"/>
    </row>
    <row r="28" spans="1:9" ht="24" customHeight="1">
      <c r="A28" s="1" t="s">
        <v>20</v>
      </c>
      <c r="B28" s="47">
        <f>49+0</f>
        <v>49</v>
      </c>
      <c r="C28" s="47">
        <f>66+0</f>
        <v>66</v>
      </c>
      <c r="D28" s="2">
        <f>72183.73+0</f>
        <v>72183.73</v>
      </c>
      <c r="E28" s="2">
        <f>113087.05+0</f>
        <v>113087.05</v>
      </c>
      <c r="F28" s="2">
        <f t="shared" si="1"/>
        <v>40903.320000000007</v>
      </c>
      <c r="G28" s="17"/>
      <c r="I28" s="17"/>
    </row>
    <row r="29" spans="1:9" ht="24" customHeight="1">
      <c r="A29" s="1" t="s">
        <v>21</v>
      </c>
      <c r="B29" s="47">
        <f>17+0</f>
        <v>17</v>
      </c>
      <c r="C29" s="47">
        <f>19+0</f>
        <v>19</v>
      </c>
      <c r="D29" s="2">
        <f>25304+0</f>
        <v>25304</v>
      </c>
      <c r="E29" s="2">
        <f>31312+0</f>
        <v>31312</v>
      </c>
      <c r="F29" s="2">
        <f t="shared" si="1"/>
        <v>6008</v>
      </c>
      <c r="G29" s="17"/>
      <c r="I29" s="17"/>
    </row>
    <row r="30" spans="1:9" ht="24" customHeight="1">
      <c r="A30" s="1" t="s">
        <v>22</v>
      </c>
      <c r="B30" s="47">
        <f>17+0</f>
        <v>17</v>
      </c>
      <c r="C30" s="47">
        <f>10+0</f>
        <v>10</v>
      </c>
      <c r="D30" s="2">
        <f>30420+0</f>
        <v>30420</v>
      </c>
      <c r="E30" s="2">
        <f>13320+0</f>
        <v>13320</v>
      </c>
      <c r="F30" s="2">
        <f t="shared" si="1"/>
        <v>-17100</v>
      </c>
      <c r="G30" s="17"/>
      <c r="I30" s="17"/>
    </row>
    <row r="31" spans="1:9" ht="24" customHeight="1">
      <c r="A31" s="1" t="s">
        <v>23</v>
      </c>
      <c r="B31" s="47">
        <f>11+0</f>
        <v>11</v>
      </c>
      <c r="C31" s="47">
        <f>0+0</f>
        <v>0</v>
      </c>
      <c r="D31" s="2">
        <f>12600+0</f>
        <v>12600</v>
      </c>
      <c r="E31" s="2">
        <f>0+0</f>
        <v>0</v>
      </c>
      <c r="F31" s="2">
        <f t="shared" si="1"/>
        <v>-12600</v>
      </c>
      <c r="G31" s="17"/>
      <c r="I31" s="17"/>
    </row>
    <row r="32" spans="1:9" ht="24" customHeight="1">
      <c r="A32" s="1" t="s">
        <v>24</v>
      </c>
      <c r="B32" s="47">
        <v>6</v>
      </c>
      <c r="C32" s="47">
        <v>27</v>
      </c>
      <c r="D32" s="2">
        <f>24160+0</f>
        <v>24160</v>
      </c>
      <c r="E32" s="2">
        <v>126585</v>
      </c>
      <c r="F32" s="2">
        <f t="shared" si="1"/>
        <v>102425</v>
      </c>
      <c r="G32" s="17"/>
      <c r="I32" s="17"/>
    </row>
    <row r="33" spans="1:9" ht="24" customHeight="1">
      <c r="A33" s="3" t="s">
        <v>37</v>
      </c>
      <c r="B33" s="14">
        <f t="shared" ref="B33:F33" si="2">SUM(B22:B32)</f>
        <v>885</v>
      </c>
      <c r="C33" s="14">
        <f t="shared" si="2"/>
        <v>1483</v>
      </c>
      <c r="D33" s="7">
        <f t="shared" si="2"/>
        <v>1183052.5900000001</v>
      </c>
      <c r="E33" s="7">
        <f t="shared" si="2"/>
        <v>1631960.6</v>
      </c>
      <c r="F33" s="7">
        <f t="shared" si="2"/>
        <v>448908.01</v>
      </c>
      <c r="G33" s="17"/>
      <c r="I33" s="17"/>
    </row>
    <row r="34" spans="1:9" ht="24" customHeight="1">
      <c r="A34" s="76" t="s">
        <v>25</v>
      </c>
      <c r="B34" s="77"/>
      <c r="C34" s="77"/>
      <c r="D34" s="77"/>
      <c r="E34" s="77"/>
      <c r="F34" s="78"/>
      <c r="G34" s="17"/>
      <c r="I34" s="17"/>
    </row>
    <row r="35" spans="1:9" ht="24" customHeight="1">
      <c r="A35" s="1" t="s">
        <v>26</v>
      </c>
      <c r="B35" s="47">
        <f>144225+27238+27251</f>
        <v>198714</v>
      </c>
      <c r="C35" s="47">
        <f>191137+26834+26731</f>
        <v>244702</v>
      </c>
      <c r="D35" s="2">
        <f>9648413.79+1861403.44+1544060.3</f>
        <v>13053877.529999999</v>
      </c>
      <c r="E35" s="2">
        <f>12960175.99+2124011.96+2272187.26</f>
        <v>17356375.210000001</v>
      </c>
      <c r="F35" s="2">
        <f>E35-D35</f>
        <v>4302497.6800000016</v>
      </c>
      <c r="G35" s="17"/>
      <c r="I35" s="17"/>
    </row>
    <row r="36" spans="1:9" ht="24" customHeight="1">
      <c r="A36" s="1" t="s">
        <v>27</v>
      </c>
      <c r="B36" s="47">
        <f>3669+330+669</f>
        <v>4668</v>
      </c>
      <c r="C36" s="47">
        <f>3127+448+592</f>
        <v>4167</v>
      </c>
      <c r="D36" s="2">
        <f>724579.16+45300+82500</f>
        <v>852379.16</v>
      </c>
      <c r="E36" s="2">
        <f>753011.62+55657.21+86650</f>
        <v>895318.83</v>
      </c>
      <c r="F36" s="2">
        <f t="shared" ref="F36:F37" si="3">E36-D36</f>
        <v>42939.669999999925</v>
      </c>
      <c r="G36" s="17"/>
      <c r="I36" s="17"/>
    </row>
    <row r="37" spans="1:9" ht="24" customHeight="1">
      <c r="A37" s="34" t="s">
        <v>28</v>
      </c>
      <c r="B37" s="47">
        <f>151+22+23</f>
        <v>196</v>
      </c>
      <c r="C37" s="47">
        <f>161+30+31</f>
        <v>222</v>
      </c>
      <c r="D37" s="2">
        <f>636867.32+87949+88172</f>
        <v>812988.32</v>
      </c>
      <c r="E37" s="2">
        <f>582825.06+130747.45+80097</f>
        <v>793669.51</v>
      </c>
      <c r="F37" s="2">
        <f t="shared" si="3"/>
        <v>-19318.809999999939</v>
      </c>
      <c r="G37" s="17"/>
      <c r="I37" s="17"/>
    </row>
    <row r="38" spans="1:9" ht="31.5">
      <c r="A38" s="3" t="s">
        <v>34</v>
      </c>
      <c r="B38" s="14">
        <f>SUM(B35:B37)</f>
        <v>203578</v>
      </c>
      <c r="C38" s="14">
        <f>SUM(C35:C37)</f>
        <v>249091</v>
      </c>
      <c r="D38" s="7">
        <f>SUM(D35:D37)</f>
        <v>14719245.01</v>
      </c>
      <c r="E38" s="7">
        <f>SUM(E35:E37)</f>
        <v>19045363.550000001</v>
      </c>
      <c r="F38" s="7">
        <f>SUM(F35:F37)</f>
        <v>4326118.5400000019</v>
      </c>
      <c r="G38" s="17"/>
      <c r="I38" s="17"/>
    </row>
    <row r="39" spans="1:9" ht="31.5">
      <c r="A39" s="4" t="s">
        <v>35</v>
      </c>
      <c r="B39" s="14">
        <f>B20+B33+B38</f>
        <v>211636</v>
      </c>
      <c r="C39" s="14">
        <f>C20+C33+C38</f>
        <v>259377</v>
      </c>
      <c r="D39" s="7">
        <f>D20+D33+D38</f>
        <v>19357994.800000001</v>
      </c>
      <c r="E39" s="7">
        <f>E20+E33+E38</f>
        <v>25306327.789999999</v>
      </c>
      <c r="F39" s="7">
        <f>F20+F33+F38</f>
        <v>5948332.9900000021</v>
      </c>
      <c r="G39" s="17"/>
      <c r="I39" s="17"/>
    </row>
    <row r="40" spans="1:9" ht="15.75">
      <c r="A40" s="70" t="s">
        <v>42</v>
      </c>
      <c r="B40" s="71"/>
      <c r="C40" s="71"/>
      <c r="D40" s="71"/>
      <c r="E40" s="71"/>
      <c r="F40" s="72"/>
      <c r="G40" s="17"/>
      <c r="I40" s="17"/>
    </row>
    <row r="41" spans="1:9" ht="24" customHeight="1">
      <c r="A41" s="1" t="s">
        <v>30</v>
      </c>
      <c r="B41" s="5">
        <f>19049+6268+3868</f>
        <v>29185</v>
      </c>
      <c r="C41" s="5">
        <f>13416+1413+1562</f>
        <v>16391</v>
      </c>
      <c r="D41" s="2">
        <f>12654702.72+7811674.32+5886968.33</f>
        <v>26353345.369999997</v>
      </c>
      <c r="E41" s="2">
        <f>5568338.18+468032.98+462986.34</f>
        <v>6499357.5</v>
      </c>
      <c r="F41" s="2">
        <f>E41-D41</f>
        <v>-19853987.869999997</v>
      </c>
      <c r="G41" s="17"/>
      <c r="I41" s="17"/>
    </row>
    <row r="42" spans="1:9" ht="24" customHeight="1">
      <c r="A42" s="1" t="s">
        <v>32</v>
      </c>
      <c r="B42" s="47">
        <f>2088+8+0</f>
        <v>2096</v>
      </c>
      <c r="C42" s="47">
        <f>11437+466+523</f>
        <v>12426</v>
      </c>
      <c r="D42" s="2">
        <f>1877515+3240+0</f>
        <v>1880755</v>
      </c>
      <c r="E42" s="51">
        <f>3141161+187610+131030</f>
        <v>3459801</v>
      </c>
      <c r="F42" s="2">
        <f t="shared" ref="F42:F46" si="4">E42-D42</f>
        <v>1579046</v>
      </c>
      <c r="G42" s="17"/>
      <c r="I42" s="17"/>
    </row>
    <row r="43" spans="1:9" ht="24" customHeight="1">
      <c r="A43" s="1" t="s">
        <v>3</v>
      </c>
      <c r="B43" s="5">
        <f>3793+907+204</f>
        <v>4904</v>
      </c>
      <c r="C43" s="5">
        <f>4550+502+404</f>
        <v>5456</v>
      </c>
      <c r="D43" s="2">
        <f>404170+42197+13087</f>
        <v>459454</v>
      </c>
      <c r="E43" s="2">
        <f>486793+51902+27688</f>
        <v>566383</v>
      </c>
      <c r="F43" s="2">
        <f t="shared" si="4"/>
        <v>106929</v>
      </c>
      <c r="G43" s="17"/>
      <c r="I43" s="17"/>
    </row>
    <row r="44" spans="1:9" ht="24" customHeight="1">
      <c r="A44" s="1" t="s">
        <v>4</v>
      </c>
      <c r="B44" s="5">
        <f>7607+116+479</f>
        <v>8202</v>
      </c>
      <c r="C44" s="5">
        <f>8318+3590+670</f>
        <v>12578</v>
      </c>
      <c r="D44" s="2">
        <f>888780+21450+79217</f>
        <v>989447</v>
      </c>
      <c r="E44" s="2">
        <f>1155660+39000+84200</f>
        <v>1278860</v>
      </c>
      <c r="F44" s="2">
        <f t="shared" si="4"/>
        <v>289413</v>
      </c>
      <c r="G44" s="17"/>
      <c r="I44" s="17"/>
    </row>
    <row r="45" spans="1:9" ht="24" customHeight="1">
      <c r="A45" s="1" t="s">
        <v>2</v>
      </c>
      <c r="B45" s="47">
        <f>991+0</f>
        <v>991</v>
      </c>
      <c r="C45" s="47">
        <f>1467+1</f>
        <v>1468</v>
      </c>
      <c r="D45" s="2">
        <f>692080+9530+0</f>
        <v>701610</v>
      </c>
      <c r="E45" s="2">
        <f>1225269.14-4130+0</f>
        <v>1221139.1399999999</v>
      </c>
      <c r="F45" s="2">
        <f t="shared" si="4"/>
        <v>519529.1399999999</v>
      </c>
      <c r="G45" s="17"/>
      <c r="I45" s="17"/>
    </row>
    <row r="46" spans="1:9" ht="24" customHeight="1">
      <c r="A46" s="1" t="s">
        <v>5</v>
      </c>
      <c r="B46" s="5">
        <f>35176+11657+8886</f>
        <v>55719</v>
      </c>
      <c r="C46" s="5">
        <f>24669+7122+7708</f>
        <v>39499</v>
      </c>
      <c r="D46" s="2">
        <f>5830600+1331600+1040350</f>
        <v>8202550</v>
      </c>
      <c r="E46" s="2">
        <f>5803070+1219150+1034950</f>
        <v>8057170</v>
      </c>
      <c r="F46" s="2">
        <f t="shared" si="4"/>
        <v>-145380</v>
      </c>
      <c r="G46" s="17"/>
      <c r="I46" s="17"/>
    </row>
    <row r="47" spans="1:9" ht="32.450000000000003" customHeight="1">
      <c r="A47" s="6" t="s">
        <v>43</v>
      </c>
      <c r="B47" s="8">
        <f>SUM(B41:B46)</f>
        <v>101097</v>
      </c>
      <c r="C47" s="8">
        <f>SUM(C41:C46)</f>
        <v>87818</v>
      </c>
      <c r="D47" s="7">
        <f>SUM(D41:D46)</f>
        <v>38587161.369999997</v>
      </c>
      <c r="E47" s="7">
        <f>SUM(E41:E46)</f>
        <v>21082710.640000001</v>
      </c>
      <c r="F47" s="7">
        <f>SUM(F41:F46)</f>
        <v>-17504450.729999997</v>
      </c>
      <c r="G47" s="17"/>
      <c r="I47" s="17"/>
    </row>
    <row r="48" spans="1:9" ht="24" customHeight="1">
      <c r="A48" s="70" t="s">
        <v>65</v>
      </c>
      <c r="B48" s="71"/>
      <c r="C48" s="71"/>
      <c r="D48" s="71"/>
      <c r="E48" s="71"/>
      <c r="F48" s="72"/>
      <c r="G48" s="17"/>
      <c r="I48" s="17"/>
    </row>
    <row r="49" spans="1:9" ht="24" customHeight="1">
      <c r="A49" s="1" t="s">
        <v>31</v>
      </c>
      <c r="B49" s="5">
        <f>19+6</f>
        <v>25</v>
      </c>
      <c r="C49" s="5">
        <f>58+2+35</f>
        <v>95</v>
      </c>
      <c r="D49" s="2">
        <f>62500+2500</f>
        <v>65000</v>
      </c>
      <c r="E49" s="2">
        <f>54500+9000+17500</f>
        <v>81000</v>
      </c>
      <c r="F49" s="2">
        <f>E49-D49</f>
        <v>16000</v>
      </c>
      <c r="G49" s="17"/>
      <c r="I49" s="17"/>
    </row>
    <row r="50" spans="1:9" ht="32.450000000000003" customHeight="1">
      <c r="A50" s="6" t="s">
        <v>66</v>
      </c>
      <c r="B50" s="8">
        <f>B49</f>
        <v>25</v>
      </c>
      <c r="C50" s="8">
        <f t="shared" ref="C50:F50" si="5">C49</f>
        <v>95</v>
      </c>
      <c r="D50" s="7">
        <f t="shared" si="5"/>
        <v>65000</v>
      </c>
      <c r="E50" s="7">
        <f>E49</f>
        <v>81000</v>
      </c>
      <c r="F50" s="7">
        <f t="shared" si="5"/>
        <v>16000</v>
      </c>
      <c r="G50" s="17"/>
      <c r="I50" s="17"/>
    </row>
    <row r="51" spans="1:9" ht="42.6" customHeight="1">
      <c r="A51" s="4" t="s">
        <v>36</v>
      </c>
      <c r="B51" s="8">
        <f>B39+B47+B50</f>
        <v>312758</v>
      </c>
      <c r="C51" s="8">
        <f t="shared" ref="C51:E51" si="6">C39+C47+C50</f>
        <v>347290</v>
      </c>
      <c r="D51" s="7">
        <f t="shared" si="6"/>
        <v>58010156.170000002</v>
      </c>
      <c r="E51" s="7">
        <f t="shared" si="6"/>
        <v>46470038.43</v>
      </c>
      <c r="F51" s="7">
        <f>E51-D51</f>
        <v>-11540117.740000002</v>
      </c>
      <c r="G51" s="17"/>
      <c r="I51" s="17"/>
    </row>
    <row r="52" spans="1:9" ht="22.9" customHeight="1">
      <c r="A52" s="9"/>
      <c r="B52" s="10"/>
      <c r="C52" s="10"/>
      <c r="D52" s="11"/>
      <c r="E52" s="12"/>
      <c r="F52" s="11"/>
      <c r="G52" s="17"/>
      <c r="I52" s="17"/>
    </row>
    <row r="53" spans="1:9" s="15" customFormat="1" ht="28.5" customHeight="1">
      <c r="A53" s="16"/>
      <c r="B53" s="17"/>
      <c r="C53" s="17"/>
      <c r="D53" s="17"/>
      <c r="E53" s="17"/>
      <c r="F53" s="13"/>
    </row>
    <row r="54" spans="1:9" ht="60.75" customHeight="1">
      <c r="A54" s="19"/>
      <c r="E54" s="17"/>
      <c r="G54" s="18"/>
    </row>
    <row r="55" spans="1:9">
      <c r="A55" s="69"/>
      <c r="B55" s="69"/>
      <c r="C55" s="69"/>
      <c r="D55" s="69"/>
      <c r="E55" s="69"/>
      <c r="F55" s="69"/>
    </row>
    <row r="56" spans="1:9" hidden="1"/>
  </sheetData>
  <mergeCells count="13">
    <mergeCell ref="A1:F1"/>
    <mergeCell ref="A4:F5"/>
    <mergeCell ref="A6:A8"/>
    <mergeCell ref="B6:C7"/>
    <mergeCell ref="D6:E7"/>
    <mergeCell ref="F6:F8"/>
    <mergeCell ref="A55:F55"/>
    <mergeCell ref="A10:F10"/>
    <mergeCell ref="A11:F11"/>
    <mergeCell ref="A21:F21"/>
    <mergeCell ref="A34:F34"/>
    <mergeCell ref="A40:F40"/>
    <mergeCell ref="A48:F48"/>
  </mergeCells>
  <pageMargins left="0.7" right="0" top="0.34" bottom="0.39370078740157483" header="0" footer="0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25" zoomScale="70" zoomScaleSheetLayoutView="70" workbookViewId="0">
      <selection activeCell="E41" sqref="E41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0" style="13" bestFit="1" customWidth="1"/>
    <col min="8" max="16384" width="9.140625" style="13"/>
  </cols>
  <sheetData>
    <row r="1" spans="1:6" ht="7.15" customHeight="1">
      <c r="A1" s="60"/>
      <c r="B1" s="60"/>
      <c r="C1" s="60"/>
      <c r="D1" s="60"/>
      <c r="E1" s="60"/>
      <c r="F1" s="60"/>
    </row>
    <row r="2" spans="1:6" ht="7.5" customHeight="1">
      <c r="A2" s="44"/>
    </row>
    <row r="3" spans="1:6" ht="4.5" hidden="1" customHeight="1">
      <c r="A3" s="44"/>
    </row>
    <row r="4" spans="1:6" ht="51" customHeight="1">
      <c r="A4" s="61" t="s">
        <v>67</v>
      </c>
      <c r="B4" s="61"/>
      <c r="C4" s="61"/>
      <c r="D4" s="61"/>
      <c r="E4" s="61"/>
      <c r="F4" s="61"/>
    </row>
    <row r="5" spans="1:6" ht="19.5" customHeight="1">
      <c r="A5" s="62"/>
      <c r="B5" s="62"/>
      <c r="C5" s="62"/>
      <c r="D5" s="62"/>
      <c r="E5" s="62"/>
      <c r="F5" s="62"/>
    </row>
    <row r="6" spans="1:6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70</v>
      </c>
    </row>
    <row r="7" spans="1:6" ht="21.75" customHeight="1">
      <c r="A7" s="63"/>
      <c r="B7" s="66"/>
      <c r="C7" s="67"/>
      <c r="D7" s="66"/>
      <c r="E7" s="67"/>
      <c r="F7" s="63"/>
    </row>
    <row r="8" spans="1:6" ht="21.75" customHeight="1">
      <c r="A8" s="63"/>
      <c r="B8" s="20" t="s">
        <v>68</v>
      </c>
      <c r="C8" s="20" t="s">
        <v>69</v>
      </c>
      <c r="D8" s="20" t="s">
        <v>68</v>
      </c>
      <c r="E8" s="20" t="s">
        <v>69</v>
      </c>
      <c r="F8" s="63"/>
    </row>
    <row r="9" spans="1:6" ht="15" customHeight="1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</row>
    <row r="10" spans="1:6" ht="21.75" customHeight="1">
      <c r="A10" s="70" t="s">
        <v>38</v>
      </c>
      <c r="B10" s="71"/>
      <c r="C10" s="71"/>
      <c r="D10" s="71"/>
      <c r="E10" s="71"/>
      <c r="F10" s="72"/>
    </row>
    <row r="11" spans="1:6" ht="16.5" customHeight="1">
      <c r="A11" s="70" t="s">
        <v>1</v>
      </c>
      <c r="B11" s="71"/>
      <c r="C11" s="71"/>
      <c r="D11" s="71"/>
      <c r="E11" s="71"/>
      <c r="F11" s="72"/>
    </row>
    <row r="12" spans="1:6" ht="24" customHeight="1">
      <c r="A12" s="1" t="s">
        <v>7</v>
      </c>
      <c r="B12" s="45">
        <f>1165+67</f>
        <v>1232</v>
      </c>
      <c r="C12" s="45">
        <f>1724+50</f>
        <v>1774</v>
      </c>
      <c r="D12" s="2">
        <f>585812+49000</f>
        <v>634812</v>
      </c>
      <c r="E12" s="2">
        <f>851005+42495</f>
        <v>893500</v>
      </c>
      <c r="F12" s="2">
        <f>E12-D12</f>
        <v>258688</v>
      </c>
    </row>
    <row r="13" spans="1:6" ht="24" customHeight="1">
      <c r="A13" s="1" t="s">
        <v>8</v>
      </c>
      <c r="B13" s="45">
        <v>808</v>
      </c>
      <c r="C13" s="45">
        <v>717</v>
      </c>
      <c r="D13" s="2">
        <f>411274+7730</f>
        <v>419004</v>
      </c>
      <c r="E13" s="2">
        <f>286275+21255</f>
        <v>307530</v>
      </c>
      <c r="F13" s="2">
        <f t="shared" ref="F13:F19" si="0">E13-D13</f>
        <v>-111474</v>
      </c>
    </row>
    <row r="14" spans="1:6" ht="24" customHeight="1">
      <c r="A14" s="1" t="s">
        <v>9</v>
      </c>
      <c r="B14" s="45">
        <v>0</v>
      </c>
      <c r="C14" s="45">
        <v>211</v>
      </c>
      <c r="D14" s="2">
        <v>0</v>
      </c>
      <c r="E14" s="2">
        <f>142974+2889</f>
        <v>145863</v>
      </c>
      <c r="F14" s="2">
        <f t="shared" si="0"/>
        <v>145863</v>
      </c>
    </row>
    <row r="15" spans="1:6" ht="24" customHeight="1">
      <c r="A15" s="1" t="s">
        <v>29</v>
      </c>
      <c r="B15" s="45">
        <v>2958</v>
      </c>
      <c r="C15" s="45">
        <v>3227</v>
      </c>
      <c r="D15" s="2">
        <f>1412531.2+89710</f>
        <v>1502241.2</v>
      </c>
      <c r="E15" s="2">
        <f>1847046.64+51900</f>
        <v>1898946.64</v>
      </c>
      <c r="F15" s="2">
        <f t="shared" si="0"/>
        <v>396705.43999999994</v>
      </c>
    </row>
    <row r="16" spans="1:6" ht="24" customHeight="1">
      <c r="A16" s="1" t="s">
        <v>10</v>
      </c>
      <c r="B16" s="39">
        <v>716</v>
      </c>
      <c r="C16" s="39">
        <v>1428</v>
      </c>
      <c r="D16" s="2">
        <f>127846+873</f>
        <v>128719</v>
      </c>
      <c r="E16" s="2">
        <f>639253+4011</f>
        <v>643264</v>
      </c>
      <c r="F16" s="2">
        <f t="shared" si="0"/>
        <v>514545</v>
      </c>
    </row>
    <row r="17" spans="1:6" ht="34.15" customHeight="1">
      <c r="A17" s="1" t="s">
        <v>64</v>
      </c>
      <c r="B17" s="45">
        <v>620</v>
      </c>
      <c r="C17" s="45">
        <v>733</v>
      </c>
      <c r="D17" s="2">
        <v>410297</v>
      </c>
      <c r="E17" s="2">
        <v>378293</v>
      </c>
      <c r="F17" s="2">
        <f t="shared" si="0"/>
        <v>-32004</v>
      </c>
    </row>
    <row r="18" spans="1:6" ht="24" customHeight="1">
      <c r="A18" s="1" t="s">
        <v>11</v>
      </c>
      <c r="B18" s="45">
        <v>555</v>
      </c>
      <c r="C18" s="45">
        <v>492</v>
      </c>
      <c r="D18" s="2">
        <f>240278+40</f>
        <v>240318</v>
      </c>
      <c r="E18" s="2">
        <f>208248+930</f>
        <v>209178</v>
      </c>
      <c r="F18" s="2">
        <f t="shared" si="0"/>
        <v>-31140</v>
      </c>
    </row>
    <row r="19" spans="1:6" ht="24" customHeight="1">
      <c r="A19" s="1" t="s">
        <v>12</v>
      </c>
      <c r="B19" s="45">
        <v>284</v>
      </c>
      <c r="C19" s="45">
        <v>220</v>
      </c>
      <c r="D19" s="2">
        <v>75179</v>
      </c>
      <c r="E19" s="2">
        <f>93075+248</f>
        <v>93323</v>
      </c>
      <c r="F19" s="2">
        <f t="shared" si="0"/>
        <v>18144</v>
      </c>
    </row>
    <row r="20" spans="1:6" ht="24" customHeight="1">
      <c r="A20" s="3" t="s">
        <v>33</v>
      </c>
      <c r="B20" s="14">
        <f>SUM(B12:B19)</f>
        <v>7173</v>
      </c>
      <c r="C20" s="14">
        <f>SUM(C12:C19)</f>
        <v>8802</v>
      </c>
      <c r="D20" s="7">
        <f>SUM(D12:D19)</f>
        <v>3410570.2</v>
      </c>
      <c r="E20" s="7">
        <f>SUM(E12:E19)</f>
        <v>4569897.6399999997</v>
      </c>
      <c r="F20" s="7">
        <f>SUM(F12:F19)</f>
        <v>1159327.44</v>
      </c>
    </row>
    <row r="21" spans="1:6" ht="24" customHeight="1">
      <c r="A21" s="73" t="s">
        <v>13</v>
      </c>
      <c r="B21" s="74"/>
      <c r="C21" s="74"/>
      <c r="D21" s="74"/>
      <c r="E21" s="74"/>
      <c r="F21" s="75"/>
    </row>
    <row r="22" spans="1:6" ht="24" customHeight="1">
      <c r="A22" s="1" t="s">
        <v>14</v>
      </c>
      <c r="B22" s="45">
        <v>374</v>
      </c>
      <c r="C22" s="45">
        <v>384</v>
      </c>
      <c r="D22" s="2">
        <v>247491.74</v>
      </c>
      <c r="E22" s="2">
        <v>402851</v>
      </c>
      <c r="F22" s="2">
        <f>E22-D22</f>
        <v>155359.26</v>
      </c>
    </row>
    <row r="23" spans="1:6" ht="24" customHeight="1">
      <c r="A23" s="1" t="s">
        <v>15</v>
      </c>
      <c r="B23" s="45">
        <v>69</v>
      </c>
      <c r="C23" s="45">
        <v>78</v>
      </c>
      <c r="D23" s="2">
        <v>236074</v>
      </c>
      <c r="E23" s="2">
        <v>299508.15000000002</v>
      </c>
      <c r="F23" s="2">
        <f t="shared" ref="F23:F32" si="1">E23-D23</f>
        <v>63434.150000000023</v>
      </c>
    </row>
    <row r="24" spans="1:6" ht="24" customHeight="1">
      <c r="A24" s="1" t="s">
        <v>16</v>
      </c>
      <c r="B24" s="45">
        <v>38</v>
      </c>
      <c r="C24" s="45">
        <v>54</v>
      </c>
      <c r="D24" s="2">
        <v>158180</v>
      </c>
      <c r="E24" s="2">
        <v>110774.39999999999</v>
      </c>
      <c r="F24" s="2">
        <f t="shared" si="1"/>
        <v>-47405.600000000006</v>
      </c>
    </row>
    <row r="25" spans="1:6" ht="24" customHeight="1">
      <c r="A25" s="1" t="s">
        <v>17</v>
      </c>
      <c r="B25" s="45">
        <v>175</v>
      </c>
      <c r="C25" s="45">
        <v>742</v>
      </c>
      <c r="D25" s="2">
        <v>321484</v>
      </c>
      <c r="E25" s="2">
        <v>487318.8</v>
      </c>
      <c r="F25" s="2">
        <f t="shared" si="1"/>
        <v>165834.79999999999</v>
      </c>
    </row>
    <row r="26" spans="1:6" ht="24" customHeight="1">
      <c r="A26" s="1" t="s">
        <v>18</v>
      </c>
      <c r="B26" s="45">
        <v>18</v>
      </c>
      <c r="C26" s="45">
        <v>11</v>
      </c>
      <c r="D26" s="2">
        <v>28560</v>
      </c>
      <c r="E26" s="2">
        <v>31160</v>
      </c>
      <c r="F26" s="2">
        <f t="shared" si="1"/>
        <v>2600</v>
      </c>
    </row>
    <row r="27" spans="1:6" ht="24" customHeight="1">
      <c r="A27" s="1" t="s">
        <v>19</v>
      </c>
      <c r="B27" s="45">
        <v>111</v>
      </c>
      <c r="C27" s="45">
        <v>90</v>
      </c>
      <c r="D27" s="2">
        <v>21522.77</v>
      </c>
      <c r="E27" s="2">
        <v>15622</v>
      </c>
      <c r="F27" s="2">
        <f t="shared" si="1"/>
        <v>-5900.77</v>
      </c>
    </row>
    <row r="28" spans="1:6" ht="24" customHeight="1">
      <c r="A28" s="1" t="s">
        <v>20</v>
      </c>
      <c r="B28" s="45">
        <v>49</v>
      </c>
      <c r="C28" s="45">
        <v>66</v>
      </c>
      <c r="D28" s="2">
        <v>72183.73</v>
      </c>
      <c r="E28" s="2">
        <v>113087.05</v>
      </c>
      <c r="F28" s="2">
        <f t="shared" si="1"/>
        <v>40903.320000000007</v>
      </c>
    </row>
    <row r="29" spans="1:6" ht="24" customHeight="1">
      <c r="A29" s="1" t="s">
        <v>21</v>
      </c>
      <c r="B29" s="45">
        <v>17</v>
      </c>
      <c r="C29" s="45">
        <v>19</v>
      </c>
      <c r="D29" s="2">
        <v>25304</v>
      </c>
      <c r="E29" s="2">
        <v>31312</v>
      </c>
      <c r="F29" s="2">
        <f t="shared" si="1"/>
        <v>6008</v>
      </c>
    </row>
    <row r="30" spans="1:6" ht="24" customHeight="1">
      <c r="A30" s="1" t="s">
        <v>22</v>
      </c>
      <c r="B30" s="45">
        <v>17</v>
      </c>
      <c r="C30" s="45">
        <v>10</v>
      </c>
      <c r="D30" s="2">
        <v>30420</v>
      </c>
      <c r="E30" s="2">
        <v>13320</v>
      </c>
      <c r="F30" s="2">
        <f t="shared" si="1"/>
        <v>-17100</v>
      </c>
    </row>
    <row r="31" spans="1:6" ht="24" customHeight="1">
      <c r="A31" s="1" t="s">
        <v>23</v>
      </c>
      <c r="B31" s="45">
        <v>11</v>
      </c>
      <c r="C31" s="45">
        <v>0</v>
      </c>
      <c r="D31" s="2">
        <v>12600</v>
      </c>
      <c r="E31" s="2">
        <v>0</v>
      </c>
      <c r="F31" s="2">
        <f t="shared" si="1"/>
        <v>-12600</v>
      </c>
    </row>
    <row r="32" spans="1:6" ht="24" customHeight="1">
      <c r="A32" s="1" t="s">
        <v>24</v>
      </c>
      <c r="B32" s="45">
        <v>6</v>
      </c>
      <c r="C32" s="45">
        <v>27</v>
      </c>
      <c r="D32" s="2">
        <v>24160</v>
      </c>
      <c r="E32" s="2">
        <v>126585</v>
      </c>
      <c r="F32" s="2">
        <f t="shared" si="1"/>
        <v>102425</v>
      </c>
    </row>
    <row r="33" spans="1:6" ht="24" customHeight="1">
      <c r="A33" s="3" t="s">
        <v>37</v>
      </c>
      <c r="B33" s="14">
        <f t="shared" ref="B33:F33" si="2">SUM(B22:B32)</f>
        <v>885</v>
      </c>
      <c r="C33" s="14">
        <f t="shared" si="2"/>
        <v>1481</v>
      </c>
      <c r="D33" s="7">
        <f t="shared" si="2"/>
        <v>1177980.24</v>
      </c>
      <c r="E33" s="7">
        <f t="shared" si="2"/>
        <v>1631538.4000000001</v>
      </c>
      <c r="F33" s="7">
        <f t="shared" si="2"/>
        <v>453558.16</v>
      </c>
    </row>
    <row r="34" spans="1:6" ht="24" customHeight="1">
      <c r="A34" s="76" t="s">
        <v>25</v>
      </c>
      <c r="B34" s="77"/>
      <c r="C34" s="77"/>
      <c r="D34" s="77"/>
      <c r="E34" s="77"/>
      <c r="F34" s="78"/>
    </row>
    <row r="35" spans="1:6" ht="24" customHeight="1">
      <c r="A35" s="1" t="s">
        <v>26</v>
      </c>
      <c r="B35" s="45">
        <f>144225+27238</f>
        <v>171463</v>
      </c>
      <c r="C35" s="45">
        <f>191137+26834</f>
        <v>217971</v>
      </c>
      <c r="D35" s="2">
        <f>9648413.79+1861403.44</f>
        <v>11509817.229999999</v>
      </c>
      <c r="E35" s="2">
        <f>12960175.99+2124011.96</f>
        <v>15084187.949999999</v>
      </c>
      <c r="F35" s="2">
        <f>E35-D35</f>
        <v>3574370.7200000007</v>
      </c>
    </row>
    <row r="36" spans="1:6" ht="24" customHeight="1">
      <c r="A36" s="1" t="s">
        <v>27</v>
      </c>
      <c r="B36" s="45">
        <f>3669+330</f>
        <v>3999</v>
      </c>
      <c r="C36" s="45">
        <f>3127+448</f>
        <v>3575</v>
      </c>
      <c r="D36" s="2">
        <f>724579.16+45300</f>
        <v>769879.16</v>
      </c>
      <c r="E36" s="2">
        <f>753011.62+55657.21</f>
        <v>808668.83</v>
      </c>
      <c r="F36" s="2">
        <f t="shared" ref="F36:F37" si="3">E36-D36</f>
        <v>38789.669999999925</v>
      </c>
    </row>
    <row r="37" spans="1:6" ht="24" customHeight="1">
      <c r="A37" s="34" t="s">
        <v>28</v>
      </c>
      <c r="B37" s="45">
        <f>151+22</f>
        <v>173</v>
      </c>
      <c r="C37" s="45">
        <f>161+30</f>
        <v>191</v>
      </c>
      <c r="D37" s="2">
        <f>636867.32+87949</f>
        <v>724816.32</v>
      </c>
      <c r="E37" s="2">
        <f>582825.06+130747.45</f>
        <v>713572.51</v>
      </c>
      <c r="F37" s="2">
        <f t="shared" si="3"/>
        <v>-11243.809999999939</v>
      </c>
    </row>
    <row r="38" spans="1:6" ht="31.5">
      <c r="A38" s="3" t="s">
        <v>34</v>
      </c>
      <c r="B38" s="14">
        <f>SUM(B35:B37)</f>
        <v>175635</v>
      </c>
      <c r="C38" s="14">
        <f>SUM(C35:C37)</f>
        <v>221737</v>
      </c>
      <c r="D38" s="7">
        <f>SUM(D35:D37)</f>
        <v>13004512.709999999</v>
      </c>
      <c r="E38" s="7">
        <f>SUM(E35:E37)</f>
        <v>16606429.289999999</v>
      </c>
      <c r="F38" s="7">
        <f>SUM(F35:F37)</f>
        <v>3601916.5800000005</v>
      </c>
    </row>
    <row r="39" spans="1:6" ht="31.5">
      <c r="A39" s="4" t="s">
        <v>35</v>
      </c>
      <c r="B39" s="14">
        <f>B20+B33+B38</f>
        <v>183693</v>
      </c>
      <c r="C39" s="14">
        <f>C20+C33+C38</f>
        <v>232020</v>
      </c>
      <c r="D39" s="7">
        <f>D20+D33+D38</f>
        <v>17593063.149999999</v>
      </c>
      <c r="E39" s="7">
        <f>E20+E33+E38</f>
        <v>22807865.329999998</v>
      </c>
      <c r="F39" s="7">
        <f>F20+F33+F38</f>
        <v>5214802.1800000006</v>
      </c>
    </row>
    <row r="40" spans="1:6" ht="15.75">
      <c r="A40" s="70" t="s">
        <v>42</v>
      </c>
      <c r="B40" s="71"/>
      <c r="C40" s="71"/>
      <c r="D40" s="71"/>
      <c r="E40" s="71"/>
      <c r="F40" s="72"/>
    </row>
    <row r="41" spans="1:6" ht="24" customHeight="1">
      <c r="A41" s="1" t="s">
        <v>30</v>
      </c>
      <c r="B41" s="5">
        <f>19049+6268</f>
        <v>25317</v>
      </c>
      <c r="C41" s="5">
        <f>13416+1413</f>
        <v>14829</v>
      </c>
      <c r="D41" s="2">
        <f>12654702.72+7811674.32</f>
        <v>20466377.039999999</v>
      </c>
      <c r="E41" s="2">
        <f>5568338.18+468032.98</f>
        <v>6036371.1600000001</v>
      </c>
      <c r="F41" s="2">
        <f>E41-D41</f>
        <v>-14430005.879999999</v>
      </c>
    </row>
    <row r="42" spans="1:6" ht="24" customHeight="1">
      <c r="A42" s="1" t="s">
        <v>32</v>
      </c>
      <c r="B42" s="45">
        <f>2088+8</f>
        <v>2096</v>
      </c>
      <c r="C42" s="45">
        <f>11437+466</f>
        <v>11903</v>
      </c>
      <c r="D42" s="2">
        <f>1877515+3240</f>
        <v>1880755</v>
      </c>
      <c r="E42" s="2">
        <f>3141161+187610</f>
        <v>3328771</v>
      </c>
      <c r="F42" s="2">
        <f t="shared" ref="F42:F46" si="4">E42-D42</f>
        <v>1448016</v>
      </c>
    </row>
    <row r="43" spans="1:6" ht="24" customHeight="1">
      <c r="A43" s="1" t="s">
        <v>3</v>
      </c>
      <c r="B43" s="5">
        <f>3793+907</f>
        <v>4700</v>
      </c>
      <c r="C43" s="5">
        <f>4550+502</f>
        <v>5052</v>
      </c>
      <c r="D43" s="2">
        <f>404170+42197</f>
        <v>446367</v>
      </c>
      <c r="E43" s="2">
        <f>486793+51902</f>
        <v>538695</v>
      </c>
      <c r="F43" s="2">
        <f t="shared" si="4"/>
        <v>92328</v>
      </c>
    </row>
    <row r="44" spans="1:6" ht="24" customHeight="1">
      <c r="A44" s="1" t="s">
        <v>4</v>
      </c>
      <c r="B44" s="5">
        <f>7607+116</f>
        <v>7723</v>
      </c>
      <c r="C44" s="5">
        <f>8318+3590</f>
        <v>11908</v>
      </c>
      <c r="D44" s="2">
        <f>888780+21450</f>
        <v>910230</v>
      </c>
      <c r="E44" s="2">
        <f>1155660+39000</f>
        <v>1194660</v>
      </c>
      <c r="F44" s="2">
        <f t="shared" si="4"/>
        <v>284430</v>
      </c>
    </row>
    <row r="45" spans="1:6" ht="24" customHeight="1">
      <c r="A45" s="1" t="s">
        <v>2</v>
      </c>
      <c r="B45" s="45">
        <v>991</v>
      </c>
      <c r="C45" s="45">
        <v>1467</v>
      </c>
      <c r="D45" s="2">
        <f>692080+9530</f>
        <v>701610</v>
      </c>
      <c r="E45" s="2">
        <f>1225269.14-4130</f>
        <v>1221139.1399999999</v>
      </c>
      <c r="F45" s="2">
        <f t="shared" si="4"/>
        <v>519529.1399999999</v>
      </c>
    </row>
    <row r="46" spans="1:6" ht="24" customHeight="1">
      <c r="A46" s="1" t="s">
        <v>5</v>
      </c>
      <c r="B46" s="5">
        <f>35176+11657</f>
        <v>46833</v>
      </c>
      <c r="C46" s="5">
        <f>24669+7122</f>
        <v>31791</v>
      </c>
      <c r="D46" s="2">
        <f>5830600+1331600</f>
        <v>7162200</v>
      </c>
      <c r="E46" s="2">
        <f>5803070+1219150</f>
        <v>7022220</v>
      </c>
      <c r="F46" s="2">
        <f t="shared" si="4"/>
        <v>-139980</v>
      </c>
    </row>
    <row r="47" spans="1:6" ht="32.450000000000003" customHeight="1">
      <c r="A47" s="6" t="s">
        <v>43</v>
      </c>
      <c r="B47" s="8">
        <f>SUM(B41:B46)</f>
        <v>87660</v>
      </c>
      <c r="C47" s="8">
        <f>SUM(C41:C46)</f>
        <v>76950</v>
      </c>
      <c r="D47" s="7">
        <f>SUM(D41:D46)</f>
        <v>31567539.039999999</v>
      </c>
      <c r="E47" s="7">
        <f>SUM(E41:E46)</f>
        <v>19341856.300000001</v>
      </c>
      <c r="F47" s="7">
        <f>SUM(F41:F46)</f>
        <v>-12225682.739999998</v>
      </c>
    </row>
    <row r="48" spans="1:6" ht="24" customHeight="1">
      <c r="A48" s="70" t="s">
        <v>65</v>
      </c>
      <c r="B48" s="71"/>
      <c r="C48" s="71"/>
      <c r="D48" s="71"/>
      <c r="E48" s="71"/>
      <c r="F48" s="72"/>
    </row>
    <row r="49" spans="1:7" ht="24" customHeight="1">
      <c r="A49" s="1" t="s">
        <v>31</v>
      </c>
      <c r="B49" s="5">
        <v>19</v>
      </c>
      <c r="C49" s="5">
        <f>58+2</f>
        <v>60</v>
      </c>
      <c r="D49" s="2">
        <v>62500</v>
      </c>
      <c r="E49" s="2">
        <f>54500+9000</f>
        <v>63500</v>
      </c>
      <c r="F49" s="2">
        <f>E49-D49</f>
        <v>1000</v>
      </c>
    </row>
    <row r="50" spans="1:7" ht="32.450000000000003" customHeight="1">
      <c r="A50" s="6" t="s">
        <v>66</v>
      </c>
      <c r="B50" s="8">
        <f>B49</f>
        <v>19</v>
      </c>
      <c r="C50" s="8">
        <f t="shared" ref="C50:F50" si="5">C49</f>
        <v>60</v>
      </c>
      <c r="D50" s="7">
        <f t="shared" si="5"/>
        <v>62500</v>
      </c>
      <c r="E50" s="7">
        <f t="shared" si="5"/>
        <v>63500</v>
      </c>
      <c r="F50" s="7">
        <f t="shared" si="5"/>
        <v>1000</v>
      </c>
    </row>
    <row r="51" spans="1:7" ht="42.6" customHeight="1">
      <c r="A51" s="4" t="s">
        <v>36</v>
      </c>
      <c r="B51" s="8">
        <f>B39+B47+B50</f>
        <v>271372</v>
      </c>
      <c r="C51" s="8">
        <f t="shared" ref="C51:E51" si="6">C39+C47+C50</f>
        <v>309030</v>
      </c>
      <c r="D51" s="7">
        <f t="shared" si="6"/>
        <v>49223102.189999998</v>
      </c>
      <c r="E51" s="7">
        <f t="shared" si="6"/>
        <v>42213221.629999995</v>
      </c>
      <c r="F51" s="7">
        <f>E51-D51</f>
        <v>-7009880.5600000024</v>
      </c>
    </row>
    <row r="52" spans="1:7" ht="22.9" customHeight="1">
      <c r="A52" s="9"/>
      <c r="B52" s="10"/>
      <c r="C52" s="10"/>
      <c r="D52" s="11"/>
      <c r="E52" s="12"/>
      <c r="F52" s="11"/>
    </row>
    <row r="53" spans="1:7" s="15" customFormat="1" ht="28.5" customHeight="1">
      <c r="A53" s="16"/>
      <c r="B53" s="13"/>
      <c r="C53" s="13"/>
      <c r="D53" s="13"/>
      <c r="E53" s="17"/>
      <c r="F53" s="13"/>
    </row>
    <row r="54" spans="1:7" ht="60.75" customHeight="1">
      <c r="A54" s="19"/>
      <c r="E54" s="17"/>
      <c r="G54" s="18"/>
    </row>
    <row r="55" spans="1:7">
      <c r="A55" s="69"/>
      <c r="B55" s="69"/>
      <c r="C55" s="69"/>
      <c r="D55" s="69"/>
      <c r="E55" s="69"/>
      <c r="F55" s="69"/>
    </row>
    <row r="56" spans="1:7" hidden="1"/>
  </sheetData>
  <mergeCells count="13">
    <mergeCell ref="A55:F55"/>
    <mergeCell ref="A10:F10"/>
    <mergeCell ref="A11:F11"/>
    <mergeCell ref="A21:F21"/>
    <mergeCell ref="A34:F34"/>
    <mergeCell ref="A40:F40"/>
    <mergeCell ref="A48:F48"/>
    <mergeCell ref="A1:F1"/>
    <mergeCell ref="A4:F5"/>
    <mergeCell ref="A6:A8"/>
    <mergeCell ref="B6:C7"/>
    <mergeCell ref="D6:E7"/>
    <mergeCell ref="F6:F8"/>
  </mergeCells>
  <pageMargins left="0.7" right="0" top="0.34" bottom="0.39370078740157483" header="0" footer="0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5"/>
  <dimension ref="A1:G56"/>
  <sheetViews>
    <sheetView view="pageBreakPreview" topLeftCell="A19" zoomScale="70" zoomScaleSheetLayoutView="70" workbookViewId="0">
      <selection activeCell="F24" sqref="F24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0" style="13" bestFit="1" customWidth="1"/>
    <col min="8" max="16384" width="9.140625" style="13"/>
  </cols>
  <sheetData>
    <row r="1" spans="1:6" ht="7.15" customHeight="1">
      <c r="A1" s="60"/>
      <c r="B1" s="60"/>
      <c r="C1" s="60"/>
      <c r="D1" s="60"/>
      <c r="E1" s="60"/>
      <c r="F1" s="60"/>
    </row>
    <row r="2" spans="1:6" ht="7.5" customHeight="1">
      <c r="A2" s="42"/>
    </row>
    <row r="3" spans="1:6" ht="4.5" hidden="1" customHeight="1">
      <c r="A3" s="42"/>
    </row>
    <row r="4" spans="1:6" ht="51" customHeight="1">
      <c r="A4" s="61" t="s">
        <v>60</v>
      </c>
      <c r="B4" s="61"/>
      <c r="C4" s="61"/>
      <c r="D4" s="61"/>
      <c r="E4" s="61"/>
      <c r="F4" s="61"/>
    </row>
    <row r="5" spans="1:6" ht="19.5" customHeight="1">
      <c r="A5" s="62"/>
      <c r="B5" s="62"/>
      <c r="C5" s="62"/>
      <c r="D5" s="62"/>
      <c r="E5" s="62"/>
      <c r="F5" s="62"/>
    </row>
    <row r="6" spans="1:6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61</v>
      </c>
    </row>
    <row r="7" spans="1:6" ht="21.75" customHeight="1">
      <c r="A7" s="63"/>
      <c r="B7" s="66"/>
      <c r="C7" s="67"/>
      <c r="D7" s="66"/>
      <c r="E7" s="67"/>
      <c r="F7" s="63"/>
    </row>
    <row r="8" spans="1:6" ht="21.75" customHeight="1">
      <c r="A8" s="63"/>
      <c r="B8" s="20" t="s">
        <v>62</v>
      </c>
      <c r="C8" s="20" t="s">
        <v>63</v>
      </c>
      <c r="D8" s="20" t="s">
        <v>62</v>
      </c>
      <c r="E8" s="20" t="s">
        <v>63</v>
      </c>
      <c r="F8" s="63"/>
    </row>
    <row r="9" spans="1:6" ht="15" customHeight="1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</row>
    <row r="10" spans="1:6" ht="21.75" customHeight="1">
      <c r="A10" s="70" t="s">
        <v>38</v>
      </c>
      <c r="B10" s="71"/>
      <c r="C10" s="71"/>
      <c r="D10" s="71"/>
      <c r="E10" s="71"/>
      <c r="F10" s="72"/>
    </row>
    <row r="11" spans="1:6" ht="16.5" customHeight="1">
      <c r="A11" s="70" t="s">
        <v>1</v>
      </c>
      <c r="B11" s="71"/>
      <c r="C11" s="71"/>
      <c r="D11" s="71"/>
      <c r="E11" s="71"/>
      <c r="F11" s="72"/>
    </row>
    <row r="12" spans="1:6" ht="24" customHeight="1">
      <c r="A12" s="1" t="s">
        <v>7</v>
      </c>
      <c r="B12" s="43">
        <v>1165</v>
      </c>
      <c r="C12" s="43">
        <v>1724</v>
      </c>
      <c r="D12" s="2">
        <v>585812</v>
      </c>
      <c r="E12" s="2">
        <v>851005</v>
      </c>
      <c r="F12" s="2">
        <f>E12-D12</f>
        <v>265193</v>
      </c>
    </row>
    <row r="13" spans="1:6" ht="24" customHeight="1">
      <c r="A13" s="1" t="s">
        <v>8</v>
      </c>
      <c r="B13" s="43">
        <v>808</v>
      </c>
      <c r="C13" s="43">
        <v>717</v>
      </c>
      <c r="D13" s="2">
        <v>411274</v>
      </c>
      <c r="E13" s="2">
        <v>286275</v>
      </c>
      <c r="F13" s="2">
        <f t="shared" ref="F13:F19" si="0">E13-D13</f>
        <v>-124999</v>
      </c>
    </row>
    <row r="14" spans="1:6" ht="24" customHeight="1">
      <c r="A14" s="1" t="s">
        <v>9</v>
      </c>
      <c r="B14" s="43">
        <v>0</v>
      </c>
      <c r="C14" s="43">
        <v>211</v>
      </c>
      <c r="D14" s="2">
        <v>0</v>
      </c>
      <c r="E14" s="2">
        <v>142974</v>
      </c>
      <c r="F14" s="2">
        <f t="shared" si="0"/>
        <v>142974</v>
      </c>
    </row>
    <row r="15" spans="1:6" ht="24" customHeight="1">
      <c r="A15" s="1" t="s">
        <v>29</v>
      </c>
      <c r="B15" s="43">
        <v>2958</v>
      </c>
      <c r="C15" s="43">
        <v>3227</v>
      </c>
      <c r="D15" s="2">
        <v>1412531.2</v>
      </c>
      <c r="E15" s="2">
        <v>1847046.64</v>
      </c>
      <c r="F15" s="2">
        <f t="shared" si="0"/>
        <v>434515.43999999994</v>
      </c>
    </row>
    <row r="16" spans="1:6" ht="24" customHeight="1">
      <c r="A16" s="1" t="s">
        <v>10</v>
      </c>
      <c r="B16" s="39">
        <v>716</v>
      </c>
      <c r="C16" s="39">
        <v>1428</v>
      </c>
      <c r="D16" s="2">
        <v>127846</v>
      </c>
      <c r="E16" s="2">
        <v>639253</v>
      </c>
      <c r="F16" s="2">
        <f t="shared" si="0"/>
        <v>511407</v>
      </c>
    </row>
    <row r="17" spans="1:6" ht="34.15" customHeight="1">
      <c r="A17" s="1" t="s">
        <v>64</v>
      </c>
      <c r="B17" s="43">
        <v>620</v>
      </c>
      <c r="C17" s="43">
        <v>733</v>
      </c>
      <c r="D17" s="2">
        <v>410297</v>
      </c>
      <c r="E17" s="2">
        <v>378293</v>
      </c>
      <c r="F17" s="2">
        <f t="shared" si="0"/>
        <v>-32004</v>
      </c>
    </row>
    <row r="18" spans="1:6" ht="24" customHeight="1">
      <c r="A18" s="1" t="s">
        <v>11</v>
      </c>
      <c r="B18" s="43">
        <v>555</v>
      </c>
      <c r="C18" s="43">
        <v>492</v>
      </c>
      <c r="D18" s="2">
        <v>240278</v>
      </c>
      <c r="E18" s="2">
        <v>208248</v>
      </c>
      <c r="F18" s="2">
        <f t="shared" si="0"/>
        <v>-32030</v>
      </c>
    </row>
    <row r="19" spans="1:6" ht="24" customHeight="1">
      <c r="A19" s="1" t="s">
        <v>12</v>
      </c>
      <c r="B19" s="43">
        <v>284</v>
      </c>
      <c r="C19" s="43">
        <v>220</v>
      </c>
      <c r="D19" s="2">
        <v>75179</v>
      </c>
      <c r="E19" s="2">
        <v>93075</v>
      </c>
      <c r="F19" s="2">
        <f t="shared" si="0"/>
        <v>17896</v>
      </c>
    </row>
    <row r="20" spans="1:6" ht="24" customHeight="1">
      <c r="A20" s="3" t="s">
        <v>33</v>
      </c>
      <c r="B20" s="14">
        <f>SUM(B12:B19)</f>
        <v>7106</v>
      </c>
      <c r="C20" s="14">
        <f>SUM(C12:C19)</f>
        <v>8752</v>
      </c>
      <c r="D20" s="7">
        <f>SUM(D12:D19)</f>
        <v>3263217.2</v>
      </c>
      <c r="E20" s="7">
        <f>SUM(E12:E19)</f>
        <v>4446169.6399999997</v>
      </c>
      <c r="F20" s="7">
        <f>SUM(F12:F19)</f>
        <v>1182952.44</v>
      </c>
    </row>
    <row r="21" spans="1:6" ht="24" customHeight="1">
      <c r="A21" s="73" t="s">
        <v>13</v>
      </c>
      <c r="B21" s="74"/>
      <c r="C21" s="74"/>
      <c r="D21" s="74"/>
      <c r="E21" s="74"/>
      <c r="F21" s="75"/>
    </row>
    <row r="22" spans="1:6" ht="24" customHeight="1">
      <c r="A22" s="1" t="s">
        <v>14</v>
      </c>
      <c r="B22" s="43">
        <v>374</v>
      </c>
      <c r="C22" s="43">
        <v>384</v>
      </c>
      <c r="D22" s="2">
        <v>247491.74</v>
      </c>
      <c r="E22" s="2">
        <v>402851</v>
      </c>
      <c r="F22" s="2">
        <f>E22-D22</f>
        <v>155359.26</v>
      </c>
    </row>
    <row r="23" spans="1:6" ht="24" customHeight="1">
      <c r="A23" s="1" t="s">
        <v>15</v>
      </c>
      <c r="B23" s="43">
        <v>69</v>
      </c>
      <c r="C23" s="43">
        <v>78</v>
      </c>
      <c r="D23" s="2">
        <v>236074</v>
      </c>
      <c r="E23" s="2">
        <v>299508.15000000002</v>
      </c>
      <c r="F23" s="2">
        <f t="shared" ref="F23:F32" si="1">E23-D23</f>
        <v>63434.150000000023</v>
      </c>
    </row>
    <row r="24" spans="1:6" ht="24" customHeight="1">
      <c r="A24" s="1" t="s">
        <v>16</v>
      </c>
      <c r="B24" s="43">
        <v>38</v>
      </c>
      <c r="C24" s="43">
        <v>54</v>
      </c>
      <c r="D24" s="2">
        <v>158180</v>
      </c>
      <c r="E24" s="2">
        <v>110774.39999999999</v>
      </c>
      <c r="F24" s="2">
        <f t="shared" si="1"/>
        <v>-47405.600000000006</v>
      </c>
    </row>
    <row r="25" spans="1:6" ht="24" customHeight="1">
      <c r="A25" s="1" t="s">
        <v>17</v>
      </c>
      <c r="B25" s="43">
        <v>175</v>
      </c>
      <c r="C25" s="43">
        <v>742</v>
      </c>
      <c r="D25" s="2">
        <v>321484</v>
      </c>
      <c r="E25" s="2">
        <v>487318.8</v>
      </c>
      <c r="F25" s="2">
        <f t="shared" si="1"/>
        <v>165834.79999999999</v>
      </c>
    </row>
    <row r="26" spans="1:6" ht="24" customHeight="1">
      <c r="A26" s="1" t="s">
        <v>18</v>
      </c>
      <c r="B26" s="43">
        <v>18</v>
      </c>
      <c r="C26" s="43">
        <v>11</v>
      </c>
      <c r="D26" s="2">
        <v>28560</v>
      </c>
      <c r="E26" s="2">
        <v>31160</v>
      </c>
      <c r="F26" s="2">
        <f t="shared" si="1"/>
        <v>2600</v>
      </c>
    </row>
    <row r="27" spans="1:6" ht="24" customHeight="1">
      <c r="A27" s="1" t="s">
        <v>19</v>
      </c>
      <c r="B27" s="43">
        <v>111</v>
      </c>
      <c r="C27" s="43">
        <v>90</v>
      </c>
      <c r="D27" s="2">
        <v>21522.77</v>
      </c>
      <c r="E27" s="2">
        <v>15622</v>
      </c>
      <c r="F27" s="2">
        <f t="shared" si="1"/>
        <v>-5900.77</v>
      </c>
    </row>
    <row r="28" spans="1:6" ht="24" customHeight="1">
      <c r="A28" s="1" t="s">
        <v>20</v>
      </c>
      <c r="B28" s="43">
        <v>49</v>
      </c>
      <c r="C28" s="43">
        <v>66</v>
      </c>
      <c r="D28" s="2">
        <v>72183.73</v>
      </c>
      <c r="E28" s="2">
        <v>113087.05</v>
      </c>
      <c r="F28" s="2">
        <f t="shared" si="1"/>
        <v>40903.320000000007</v>
      </c>
    </row>
    <row r="29" spans="1:6" ht="24" customHeight="1">
      <c r="A29" s="1" t="s">
        <v>21</v>
      </c>
      <c r="B29" s="43">
        <v>17</v>
      </c>
      <c r="C29" s="43">
        <v>19</v>
      </c>
      <c r="D29" s="2">
        <v>25304</v>
      </c>
      <c r="E29" s="2">
        <v>31312</v>
      </c>
      <c r="F29" s="2">
        <f t="shared" si="1"/>
        <v>6008</v>
      </c>
    </row>
    <row r="30" spans="1:6" ht="24" customHeight="1">
      <c r="A30" s="1" t="s">
        <v>22</v>
      </c>
      <c r="B30" s="43">
        <v>17</v>
      </c>
      <c r="C30" s="43">
        <v>10</v>
      </c>
      <c r="D30" s="2">
        <v>30420</v>
      </c>
      <c r="E30" s="2">
        <v>13320</v>
      </c>
      <c r="F30" s="2">
        <f t="shared" si="1"/>
        <v>-17100</v>
      </c>
    </row>
    <row r="31" spans="1:6" ht="24" customHeight="1">
      <c r="A31" s="1" t="s">
        <v>23</v>
      </c>
      <c r="B31" s="43">
        <v>11</v>
      </c>
      <c r="C31" s="43">
        <v>0</v>
      </c>
      <c r="D31" s="2">
        <v>12600</v>
      </c>
      <c r="E31" s="2">
        <v>0</v>
      </c>
      <c r="F31" s="2">
        <f t="shared" si="1"/>
        <v>-12600</v>
      </c>
    </row>
    <row r="32" spans="1:6" ht="24" customHeight="1">
      <c r="A32" s="1" t="s">
        <v>24</v>
      </c>
      <c r="B32" s="43">
        <v>6</v>
      </c>
      <c r="C32" s="43">
        <v>27</v>
      </c>
      <c r="D32" s="2">
        <v>24160</v>
      </c>
      <c r="E32" s="2">
        <v>126585</v>
      </c>
      <c r="F32" s="2">
        <f t="shared" si="1"/>
        <v>102425</v>
      </c>
    </row>
    <row r="33" spans="1:6" ht="24" customHeight="1">
      <c r="A33" s="3" t="s">
        <v>37</v>
      </c>
      <c r="B33" s="14">
        <f t="shared" ref="B33:F33" si="2">SUM(B22:B32)</f>
        <v>885</v>
      </c>
      <c r="C33" s="14">
        <f t="shared" si="2"/>
        <v>1481</v>
      </c>
      <c r="D33" s="7">
        <f t="shared" si="2"/>
        <v>1177980.24</v>
      </c>
      <c r="E33" s="7">
        <f t="shared" si="2"/>
        <v>1631538.4000000001</v>
      </c>
      <c r="F33" s="7">
        <f t="shared" si="2"/>
        <v>453558.16</v>
      </c>
    </row>
    <row r="34" spans="1:6" ht="24" customHeight="1">
      <c r="A34" s="76" t="s">
        <v>25</v>
      </c>
      <c r="B34" s="77"/>
      <c r="C34" s="77"/>
      <c r="D34" s="77"/>
      <c r="E34" s="77"/>
      <c r="F34" s="78"/>
    </row>
    <row r="35" spans="1:6" ht="24" customHeight="1">
      <c r="A35" s="1" t="s">
        <v>26</v>
      </c>
      <c r="B35" s="43">
        <v>144225</v>
      </c>
      <c r="C35" s="43">
        <v>191137</v>
      </c>
      <c r="D35" s="2">
        <v>9648413.7899999991</v>
      </c>
      <c r="E35" s="2">
        <v>12960175.99</v>
      </c>
      <c r="F35" s="2">
        <f>E35-D35</f>
        <v>3311762.2000000011</v>
      </c>
    </row>
    <row r="36" spans="1:6" ht="24" customHeight="1">
      <c r="A36" s="1" t="s">
        <v>27</v>
      </c>
      <c r="B36" s="43">
        <v>3669</v>
      </c>
      <c r="C36" s="43">
        <v>3127</v>
      </c>
      <c r="D36" s="2">
        <v>724579.16</v>
      </c>
      <c r="E36" s="2">
        <v>753011.62</v>
      </c>
      <c r="F36" s="2">
        <f t="shared" ref="F36:F37" si="3">E36-D36</f>
        <v>28432.459999999963</v>
      </c>
    </row>
    <row r="37" spans="1:6" ht="24" customHeight="1">
      <c r="A37" s="34" t="s">
        <v>28</v>
      </c>
      <c r="B37" s="43">
        <v>151</v>
      </c>
      <c r="C37" s="43">
        <v>161</v>
      </c>
      <c r="D37" s="2">
        <v>636867.31999999995</v>
      </c>
      <c r="E37" s="2">
        <v>582825.06000000006</v>
      </c>
      <c r="F37" s="2">
        <f t="shared" si="3"/>
        <v>-54042.259999999893</v>
      </c>
    </row>
    <row r="38" spans="1:6" ht="31.5">
      <c r="A38" s="3" t="s">
        <v>34</v>
      </c>
      <c r="B38" s="14">
        <f>SUM(B35:B37)</f>
        <v>148045</v>
      </c>
      <c r="C38" s="14">
        <f>SUM(C35:C37)</f>
        <v>194425</v>
      </c>
      <c r="D38" s="7">
        <f>SUM(D35:D37)</f>
        <v>11009860.27</v>
      </c>
      <c r="E38" s="7">
        <f>SUM(E35:E37)</f>
        <v>14296012.67</v>
      </c>
      <c r="F38" s="7">
        <f>SUM(F35:F37)</f>
        <v>3286152.4000000013</v>
      </c>
    </row>
    <row r="39" spans="1:6" ht="31.5">
      <c r="A39" s="4" t="s">
        <v>35</v>
      </c>
      <c r="B39" s="14">
        <f>B20+B33+B38</f>
        <v>156036</v>
      </c>
      <c r="C39" s="14">
        <f>C20+C33+C38</f>
        <v>204658</v>
      </c>
      <c r="D39" s="7">
        <f>D20+D33+D38</f>
        <v>15451057.710000001</v>
      </c>
      <c r="E39" s="7">
        <f>E20+E33+E38</f>
        <v>20373720.710000001</v>
      </c>
      <c r="F39" s="7">
        <f>F20+F33+F38</f>
        <v>4922663.0000000009</v>
      </c>
    </row>
    <row r="40" spans="1:6" ht="15.75">
      <c r="A40" s="70" t="s">
        <v>42</v>
      </c>
      <c r="B40" s="71"/>
      <c r="C40" s="71"/>
      <c r="D40" s="71"/>
      <c r="E40" s="71"/>
      <c r="F40" s="72"/>
    </row>
    <row r="41" spans="1:6" ht="24" customHeight="1">
      <c r="A41" s="1" t="s">
        <v>30</v>
      </c>
      <c r="B41" s="5">
        <v>19049</v>
      </c>
      <c r="C41" s="5">
        <v>13416</v>
      </c>
      <c r="D41" s="2">
        <v>12654702.720000001</v>
      </c>
      <c r="E41" s="2">
        <v>5568338.1799999997</v>
      </c>
      <c r="F41" s="2">
        <f>E41-D41</f>
        <v>-7086364.540000001</v>
      </c>
    </row>
    <row r="42" spans="1:6" ht="24" customHeight="1">
      <c r="A42" s="1" t="s">
        <v>32</v>
      </c>
      <c r="B42" s="43">
        <v>2088</v>
      </c>
      <c r="C42" s="43">
        <v>11437</v>
      </c>
      <c r="D42" s="2">
        <v>1877515</v>
      </c>
      <c r="E42" s="2">
        <v>3141161</v>
      </c>
      <c r="F42" s="2">
        <f t="shared" ref="F42:F46" si="4">E42-D42</f>
        <v>1263646</v>
      </c>
    </row>
    <row r="43" spans="1:6" ht="24" customHeight="1">
      <c r="A43" s="1" t="s">
        <v>3</v>
      </c>
      <c r="B43" s="5">
        <v>3793</v>
      </c>
      <c r="C43" s="5">
        <v>4550</v>
      </c>
      <c r="D43" s="2">
        <v>404170</v>
      </c>
      <c r="E43" s="2">
        <v>486793</v>
      </c>
      <c r="F43" s="2">
        <f t="shared" si="4"/>
        <v>82623</v>
      </c>
    </row>
    <row r="44" spans="1:6" ht="24" customHeight="1">
      <c r="A44" s="1" t="s">
        <v>4</v>
      </c>
      <c r="B44" s="5">
        <v>7607</v>
      </c>
      <c r="C44" s="5">
        <v>8318</v>
      </c>
      <c r="D44" s="2">
        <v>888780</v>
      </c>
      <c r="E44" s="2">
        <v>1155660</v>
      </c>
      <c r="F44" s="2">
        <f t="shared" si="4"/>
        <v>266880</v>
      </c>
    </row>
    <row r="45" spans="1:6" ht="24" customHeight="1">
      <c r="A45" s="1" t="s">
        <v>2</v>
      </c>
      <c r="B45" s="43">
        <v>991</v>
      </c>
      <c r="C45" s="43">
        <v>1467</v>
      </c>
      <c r="D45" s="2">
        <v>692080</v>
      </c>
      <c r="E45" s="2">
        <v>1225269.1399999999</v>
      </c>
      <c r="F45" s="2">
        <f t="shared" si="4"/>
        <v>533189.1399999999</v>
      </c>
    </row>
    <row r="46" spans="1:6" ht="24" customHeight="1">
      <c r="A46" s="1" t="s">
        <v>5</v>
      </c>
      <c r="B46" s="5">
        <v>35176</v>
      </c>
      <c r="C46" s="5">
        <v>24669</v>
      </c>
      <c r="D46" s="2">
        <v>5830600</v>
      </c>
      <c r="E46" s="2">
        <v>5803070</v>
      </c>
      <c r="F46" s="2">
        <f t="shared" si="4"/>
        <v>-27530</v>
      </c>
    </row>
    <row r="47" spans="1:6" ht="32.450000000000003" customHeight="1">
      <c r="A47" s="6" t="s">
        <v>43</v>
      </c>
      <c r="B47" s="8">
        <f>SUM(B41:B46)</f>
        <v>68704</v>
      </c>
      <c r="C47" s="8">
        <f>SUM(C41:C46)</f>
        <v>63857</v>
      </c>
      <c r="D47" s="7">
        <f>SUM(D41:D46)</f>
        <v>22347847.719999999</v>
      </c>
      <c r="E47" s="7">
        <f>SUM(E41:E46)</f>
        <v>17380291.32</v>
      </c>
      <c r="F47" s="7">
        <f>SUM(F41:F46)</f>
        <v>-4967556.4000000013</v>
      </c>
    </row>
    <row r="48" spans="1:6" ht="24" customHeight="1">
      <c r="A48" s="70" t="s">
        <v>65</v>
      </c>
      <c r="B48" s="71"/>
      <c r="C48" s="71"/>
      <c r="D48" s="71"/>
      <c r="E48" s="71"/>
      <c r="F48" s="72"/>
    </row>
    <row r="49" spans="1:7" ht="24" customHeight="1">
      <c r="A49" s="1" t="s">
        <v>31</v>
      </c>
      <c r="B49" s="5">
        <v>19</v>
      </c>
      <c r="C49" s="5">
        <v>58</v>
      </c>
      <c r="D49" s="2">
        <v>62500</v>
      </c>
      <c r="E49" s="2">
        <v>54500</v>
      </c>
      <c r="F49" s="2">
        <f>E49-D49</f>
        <v>-8000</v>
      </c>
    </row>
    <row r="50" spans="1:7" ht="32.450000000000003" customHeight="1">
      <c r="A50" s="6" t="s">
        <v>66</v>
      </c>
      <c r="B50" s="8">
        <f>B49</f>
        <v>19</v>
      </c>
      <c r="C50" s="8">
        <f t="shared" ref="C50:F50" si="5">C49</f>
        <v>58</v>
      </c>
      <c r="D50" s="7">
        <f t="shared" si="5"/>
        <v>62500</v>
      </c>
      <c r="E50" s="7">
        <f t="shared" si="5"/>
        <v>54500</v>
      </c>
      <c r="F50" s="7">
        <f t="shared" si="5"/>
        <v>-8000</v>
      </c>
    </row>
    <row r="51" spans="1:7" ht="42.6" customHeight="1">
      <c r="A51" s="4" t="s">
        <v>36</v>
      </c>
      <c r="B51" s="8">
        <f>B39+B47+B50</f>
        <v>224759</v>
      </c>
      <c r="C51" s="8">
        <f t="shared" ref="C51:E51" si="6">C39+C47+C50</f>
        <v>268573</v>
      </c>
      <c r="D51" s="7">
        <f t="shared" si="6"/>
        <v>37861405.43</v>
      </c>
      <c r="E51" s="7">
        <f t="shared" si="6"/>
        <v>37808512.030000001</v>
      </c>
      <c r="F51" s="7">
        <f>E51-D51</f>
        <v>-52893.39999999851</v>
      </c>
    </row>
    <row r="52" spans="1:7" ht="22.9" customHeight="1">
      <c r="A52" s="9"/>
      <c r="B52" s="10"/>
      <c r="C52" s="10"/>
      <c r="D52" s="11"/>
      <c r="E52" s="12"/>
      <c r="F52" s="11"/>
    </row>
    <row r="53" spans="1:7" s="15" customFormat="1" ht="28.5" customHeight="1">
      <c r="A53" s="16"/>
      <c r="B53" s="13"/>
      <c r="C53" s="13"/>
      <c r="D53" s="13"/>
      <c r="E53" s="17"/>
      <c r="F53" s="13"/>
    </row>
    <row r="54" spans="1:7" ht="60.75" customHeight="1">
      <c r="A54" s="19"/>
      <c r="E54" s="17"/>
      <c r="G54" s="18"/>
    </row>
    <row r="55" spans="1:7">
      <c r="A55" s="69"/>
      <c r="B55" s="69"/>
      <c r="C55" s="69"/>
      <c r="D55" s="69"/>
      <c r="E55" s="69"/>
      <c r="F55" s="69"/>
    </row>
    <row r="56" spans="1:7" hidden="1"/>
  </sheetData>
  <mergeCells count="13">
    <mergeCell ref="A55:F55"/>
    <mergeCell ref="A10:F10"/>
    <mergeCell ref="A11:F11"/>
    <mergeCell ref="A21:F21"/>
    <mergeCell ref="A34:F34"/>
    <mergeCell ref="A40:F40"/>
    <mergeCell ref="A48:F48"/>
    <mergeCell ref="A1:F1"/>
    <mergeCell ref="A4:F5"/>
    <mergeCell ref="A6:A8"/>
    <mergeCell ref="B6:C7"/>
    <mergeCell ref="D6:E7"/>
    <mergeCell ref="F6:F8"/>
  </mergeCells>
  <pageMargins left="0.7" right="0" top="0.34" bottom="0.39370078740157483" header="0" footer="0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"/>
  <dimension ref="A1:G54"/>
  <sheetViews>
    <sheetView view="pageBreakPreview" topLeftCell="A13" zoomScale="70" zoomScaleSheetLayoutView="70" workbookViewId="0">
      <selection activeCell="F24" sqref="F24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16384" width="9.140625" style="13"/>
  </cols>
  <sheetData>
    <row r="1" spans="1:6" ht="7.15" customHeight="1">
      <c r="A1" s="60"/>
      <c r="B1" s="60"/>
      <c r="C1" s="60"/>
      <c r="D1" s="60"/>
      <c r="E1" s="60"/>
      <c r="F1" s="60"/>
    </row>
    <row r="2" spans="1:6" ht="7.5" customHeight="1">
      <c r="A2" s="40"/>
    </row>
    <row r="3" spans="1:6" ht="4.5" hidden="1" customHeight="1">
      <c r="A3" s="40"/>
    </row>
    <row r="4" spans="1:6" ht="51" customHeight="1">
      <c r="A4" s="61" t="s">
        <v>56</v>
      </c>
      <c r="B4" s="61"/>
      <c r="C4" s="61"/>
      <c r="D4" s="61"/>
      <c r="E4" s="61"/>
      <c r="F4" s="61"/>
    </row>
    <row r="5" spans="1:6" ht="19.5" customHeight="1">
      <c r="A5" s="62"/>
      <c r="B5" s="62"/>
      <c r="C5" s="62"/>
      <c r="D5" s="62"/>
      <c r="E5" s="62"/>
      <c r="F5" s="62"/>
    </row>
    <row r="6" spans="1:6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59</v>
      </c>
    </row>
    <row r="7" spans="1:6" ht="21.75" customHeight="1">
      <c r="A7" s="63"/>
      <c r="B7" s="66"/>
      <c r="C7" s="67"/>
      <c r="D7" s="66"/>
      <c r="E7" s="67"/>
      <c r="F7" s="63"/>
    </row>
    <row r="8" spans="1:6" ht="21.75" customHeight="1">
      <c r="A8" s="63"/>
      <c r="B8" s="20" t="s">
        <v>57</v>
      </c>
      <c r="C8" s="20" t="s">
        <v>58</v>
      </c>
      <c r="D8" s="20" t="s">
        <v>57</v>
      </c>
      <c r="E8" s="20" t="s">
        <v>58</v>
      </c>
      <c r="F8" s="63"/>
    </row>
    <row r="9" spans="1:6" ht="15" customHeight="1">
      <c r="A9" s="41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</row>
    <row r="10" spans="1:6" ht="21.75" customHeight="1">
      <c r="A10" s="70" t="s">
        <v>38</v>
      </c>
      <c r="B10" s="71"/>
      <c r="C10" s="71"/>
      <c r="D10" s="71"/>
      <c r="E10" s="71"/>
      <c r="F10" s="72"/>
    </row>
    <row r="11" spans="1:6" ht="16.5" customHeight="1">
      <c r="A11" s="70" t="s">
        <v>1</v>
      </c>
      <c r="B11" s="71"/>
      <c r="C11" s="71"/>
      <c r="D11" s="71"/>
      <c r="E11" s="71"/>
      <c r="F11" s="72"/>
    </row>
    <row r="12" spans="1:6" ht="24" customHeight="1">
      <c r="A12" s="1" t="s">
        <v>7</v>
      </c>
      <c r="B12" s="41">
        <f>228+'за 1 квартал'!B12+'май 2024'!B12</f>
        <v>1095</v>
      </c>
      <c r="C12" s="41">
        <f>336+'за 1 квартал'!C12+'май 2024'!C12</f>
        <v>1714</v>
      </c>
      <c r="D12" s="2">
        <f>101202+'за 1 квартал'!D12+'май 2024'!D12</f>
        <v>460354</v>
      </c>
      <c r="E12" s="2">
        <f>160879+'за 1 квартал'!E12+'май 2024'!E12</f>
        <v>684406</v>
      </c>
      <c r="F12" s="2">
        <f t="shared" ref="F12:F13" si="0">E12-D12</f>
        <v>224052</v>
      </c>
    </row>
    <row r="13" spans="1:6" ht="24" customHeight="1">
      <c r="A13" s="1" t="s">
        <v>8</v>
      </c>
      <c r="B13" s="41">
        <f>164+'за 1 квартал'!B13+'май 2024'!B13</f>
        <v>808</v>
      </c>
      <c r="C13" s="41">
        <f>136+'за 1 квартал'!C13+'май 2024'!C13</f>
        <v>685</v>
      </c>
      <c r="D13" s="2">
        <f>67401+'за 1 квартал'!D13+'май 2024'!D13</f>
        <v>366599</v>
      </c>
      <c r="E13" s="2">
        <f>64185+'за 1 квартал'!E13+'май 2024'!E13</f>
        <v>248060</v>
      </c>
      <c r="F13" s="2">
        <f t="shared" si="0"/>
        <v>-118539</v>
      </c>
    </row>
    <row r="14" spans="1:6" ht="24" customHeight="1">
      <c r="A14" s="1" t="s">
        <v>9</v>
      </c>
      <c r="B14" s="41">
        <v>0</v>
      </c>
      <c r="C14" s="41">
        <f>85+85+'май 2024'!C14</f>
        <v>255</v>
      </c>
      <c r="D14" s="2">
        <v>0</v>
      </c>
      <c r="E14" s="2">
        <f>64000+31819+'май 2024'!E14</f>
        <v>126047</v>
      </c>
      <c r="F14" s="2">
        <f>E14-D14</f>
        <v>126047</v>
      </c>
    </row>
    <row r="15" spans="1:6" ht="24" customHeight="1">
      <c r="A15" s="1" t="s">
        <v>29</v>
      </c>
      <c r="B15" s="41">
        <f>620+'за 1 квартал'!B15+'май 2024'!B15</f>
        <v>2797</v>
      </c>
      <c r="C15" s="41">
        <f>620+'за 1 квартал'!C15+'май 2024'!C15</f>
        <v>3140</v>
      </c>
      <c r="D15" s="2">
        <f>265950.85+'за 1 квартал'!D15+'май 2024'!E15</f>
        <v>1266579.1400000001</v>
      </c>
      <c r="E15" s="2">
        <f>381516.15+'за 1 квартал'!E15+'май 2024'!E15</f>
        <v>1621844.6400000001</v>
      </c>
      <c r="F15" s="2">
        <f t="shared" ref="F15:F19" si="1">E15-D15</f>
        <v>355265.5</v>
      </c>
    </row>
    <row r="16" spans="1:6" ht="24" customHeight="1">
      <c r="A16" s="1" t="s">
        <v>10</v>
      </c>
      <c r="B16" s="39">
        <f>590+'май 2024'!B16</f>
        <v>716</v>
      </c>
      <c r="C16" s="39">
        <f>1157+'май 2024'!C16</f>
        <v>1428</v>
      </c>
      <c r="D16" s="2">
        <f>17076+'за 1 квартал'!D16+'май 2024'!D16</f>
        <v>108687</v>
      </c>
      <c r="E16" s="2">
        <f>108619+'за 1 квартал'!E16+'май 2024'!E16</f>
        <v>557950</v>
      </c>
      <c r="F16" s="2">
        <f t="shared" si="1"/>
        <v>449263</v>
      </c>
    </row>
    <row r="17" spans="1:6" ht="34.15" customHeight="1">
      <c r="A17" s="1" t="s">
        <v>39</v>
      </c>
      <c r="B17" s="41">
        <f>'за 1 квартал'!B17+68+'май 2024'!B17</f>
        <v>504</v>
      </c>
      <c r="C17" s="41">
        <f>'за 1 квартал'!C17+124+'май 2024'!C17</f>
        <v>2097</v>
      </c>
      <c r="D17" s="2">
        <f>'за 1 квартал'!D17+17589+'май 2024'!D17</f>
        <v>236750</v>
      </c>
      <c r="E17" s="2">
        <f>'за 1 квартал'!E17+77141+'май 2024'!E17</f>
        <v>313769</v>
      </c>
      <c r="F17" s="2">
        <f>E17-D17</f>
        <v>77019</v>
      </c>
    </row>
    <row r="18" spans="1:6" ht="24" customHeight="1">
      <c r="A18" s="1" t="s">
        <v>11</v>
      </c>
      <c r="B18" s="41">
        <f>104+'за 1 квартал'!B18+'май 2024'!B18</f>
        <v>555</v>
      </c>
      <c r="C18" s="41">
        <f>106+'за 1 квартал'!C18+'май 2024'!C18</f>
        <v>492</v>
      </c>
      <c r="D18" s="2">
        <f>48557+'за 1 квартал'!D18+'май 2024'!D18</f>
        <v>202779</v>
      </c>
      <c r="E18" s="2">
        <f>35335+'за 1 квартал'!E18+'май 2024'!E18</f>
        <v>175218</v>
      </c>
      <c r="F18" s="2">
        <f t="shared" si="1"/>
        <v>-27561</v>
      </c>
    </row>
    <row r="19" spans="1:6" ht="24" customHeight="1">
      <c r="A19" s="1" t="s">
        <v>12</v>
      </c>
      <c r="B19" s="41">
        <f>71+'за 1 квартал'!B19+'май 2024'!B19</f>
        <v>215</v>
      </c>
      <c r="C19" s="41">
        <f>55+'за 1 квартал'!C19+'май 2024'!C19</f>
        <v>165</v>
      </c>
      <c r="D19" s="2">
        <f>18729+'за 1 квартал'!D19+'май 2024'!D19</f>
        <v>80459</v>
      </c>
      <c r="E19" s="2">
        <f>14890+'за 1 квартал'!E19+'май 2024'!E19</f>
        <v>78665</v>
      </c>
      <c r="F19" s="2">
        <f t="shared" si="1"/>
        <v>-1794</v>
      </c>
    </row>
    <row r="20" spans="1:6" ht="24" customHeight="1">
      <c r="A20" s="3" t="s">
        <v>33</v>
      </c>
      <c r="B20" s="14">
        <f>SUM(B12:B19)</f>
        <v>6690</v>
      </c>
      <c r="C20" s="14">
        <f>SUM(C12:C19)</f>
        <v>9976</v>
      </c>
      <c r="D20" s="7">
        <f>SUM(D12:D19)</f>
        <v>2722207.14</v>
      </c>
      <c r="E20" s="7">
        <f>SUM(E12:E19)</f>
        <v>3805959.64</v>
      </c>
      <c r="F20" s="7">
        <f>SUM(F12:F19)</f>
        <v>1083752.5</v>
      </c>
    </row>
    <row r="21" spans="1:6" ht="24" customHeight="1">
      <c r="A21" s="73" t="s">
        <v>13</v>
      </c>
      <c r="B21" s="74"/>
      <c r="C21" s="74"/>
      <c r="D21" s="74"/>
      <c r="E21" s="74"/>
      <c r="F21" s="75"/>
    </row>
    <row r="22" spans="1:6" ht="24" customHeight="1">
      <c r="A22" s="1" t="s">
        <v>14</v>
      </c>
      <c r="B22" s="41">
        <f>73+'за 1 квартал'!B22+'май 2024'!B22</f>
        <v>447</v>
      </c>
      <c r="C22" s="41">
        <f>113+'за 1 квартал'!C22+'май 2024'!C22</f>
        <v>594</v>
      </c>
      <c r="D22" s="2">
        <f>50324+'за 1 квартал'!D22+'май 2024'!D22</f>
        <v>222606.74</v>
      </c>
      <c r="E22" s="2">
        <f>81260+'за 1 квартал'!E22+'май 2024'!E22</f>
        <v>412931</v>
      </c>
      <c r="F22" s="2">
        <f t="shared" ref="F22:F24" si="2">E22-D22</f>
        <v>190324.26</v>
      </c>
    </row>
    <row r="23" spans="1:6" ht="24" customHeight="1">
      <c r="A23" s="1" t="s">
        <v>15</v>
      </c>
      <c r="B23" s="41">
        <f>69+'за 1 квартал'!B23+'май 2024'!B23</f>
        <v>207</v>
      </c>
      <c r="C23" s="41">
        <f>84+'за 1 квартал'!C23+'май 2024'!C23</f>
        <v>242</v>
      </c>
      <c r="D23" s="2">
        <f>39167.9+'за 1 квартал'!D23+'май 2024'!D23</f>
        <v>199289.60000000001</v>
      </c>
      <c r="E23" s="2">
        <f>55889.99+'за 1 квартал'!E23+'май 2024'!E23</f>
        <v>279269.58999999997</v>
      </c>
      <c r="F23" s="2">
        <f t="shared" si="2"/>
        <v>79979.989999999962</v>
      </c>
    </row>
    <row r="24" spans="1:6" ht="24" customHeight="1">
      <c r="A24" s="1" t="s">
        <v>16</v>
      </c>
      <c r="B24" s="41">
        <f>17+'за 1 квартал'!B24+'май 2024'!B24</f>
        <v>55</v>
      </c>
      <c r="C24" s="41">
        <f>24+'за 1 квартал'!C24+'май 2024'!C24</f>
        <v>87</v>
      </c>
      <c r="D24" s="2">
        <f>28540+'за 1 квартал'!D24+'май 2024'!D24</f>
        <v>158180</v>
      </c>
      <c r="E24" s="2">
        <f>27705.6+'за 1 квартал'!E24+'май 2024'!E24</f>
        <v>110774.39999999999</v>
      </c>
      <c r="F24" s="2">
        <f t="shared" si="2"/>
        <v>-47405.600000000006</v>
      </c>
    </row>
    <row r="25" spans="1:6" ht="24" customHeight="1">
      <c r="A25" s="1" t="s">
        <v>17</v>
      </c>
      <c r="B25" s="41">
        <f>173+2+'май 2024'!B25</f>
        <v>175</v>
      </c>
      <c r="C25" s="41">
        <f>715+4+'май 2024'!C25</f>
        <v>719</v>
      </c>
      <c r="D25" s="2">
        <f>306465+10644+'май 2024'!D25</f>
        <v>317109</v>
      </c>
      <c r="E25" s="2">
        <f>444825.6+22160+'май 2024'!E25</f>
        <v>466985.6</v>
      </c>
      <c r="F25" s="2">
        <f>E25-D25</f>
        <v>149876.59999999998</v>
      </c>
    </row>
    <row r="26" spans="1:6" ht="24" customHeight="1">
      <c r="A26" s="1" t="s">
        <v>18</v>
      </c>
      <c r="B26" s="41">
        <f>18+'май 2024'!B26</f>
        <v>36</v>
      </c>
      <c r="C26" s="41">
        <f>11+'май 2024'!C26</f>
        <v>22</v>
      </c>
      <c r="D26" s="2">
        <f>24940+'май 2024'!D26</f>
        <v>34440</v>
      </c>
      <c r="E26" s="2">
        <f>0+'май 2024'!E26</f>
        <v>3040</v>
      </c>
      <c r="F26" s="2">
        <f t="shared" ref="F26:F32" si="3">E26-D26</f>
        <v>-31400</v>
      </c>
    </row>
    <row r="27" spans="1:6" ht="24" customHeight="1">
      <c r="A27" s="1" t="s">
        <v>19</v>
      </c>
      <c r="B27" s="41">
        <f>11+'за 1 квартал'!B27+'май 2024'!B27</f>
        <v>112</v>
      </c>
      <c r="C27" s="41">
        <f>19+'за 1 квартал'!C27+'май 2024'!C27</f>
        <v>90</v>
      </c>
      <c r="D27" s="2">
        <f>2334.27+'за 1 квартал'!D27+'май 2024'!D27</f>
        <v>21316.13</v>
      </c>
      <c r="E27" s="2">
        <f>3343.05+'за 1 квартал'!E27+'май 2024'!E27</f>
        <v>13875.02</v>
      </c>
      <c r="F27" s="2">
        <f t="shared" si="3"/>
        <v>-7441.1100000000006</v>
      </c>
    </row>
    <row r="28" spans="1:6" ht="24" customHeight="1">
      <c r="A28" s="1" t="s">
        <v>20</v>
      </c>
      <c r="B28" s="41">
        <f>49+47+'май 2024'!B28</f>
        <v>143</v>
      </c>
      <c r="C28" s="41">
        <f>66+68+'май 2024'!C28</f>
        <v>196</v>
      </c>
      <c r="D28" s="2">
        <f>49836.84+15283.67+'май 2024'!D28</f>
        <v>72183.73</v>
      </c>
      <c r="E28" s="2">
        <f>63739.87+29239.16+'май 2024'!E28</f>
        <v>113087.05</v>
      </c>
      <c r="F28" s="2">
        <f t="shared" si="3"/>
        <v>40903.320000000007</v>
      </c>
    </row>
    <row r="29" spans="1:6" ht="24" customHeight="1">
      <c r="A29" s="1" t="s">
        <v>21</v>
      </c>
      <c r="B29" s="41">
        <f>0+'за 1 квартал'!B29+'май 2024'!B29</f>
        <v>17</v>
      </c>
      <c r="C29" s="41">
        <f>0+'за 1 квартал'!C29+'май 2024'!C29</f>
        <v>19</v>
      </c>
      <c r="D29" s="2">
        <f>0+'за 1 квартал'!D29+'май 2024'!D29</f>
        <v>25336</v>
      </c>
      <c r="E29" s="2">
        <f>0+'за 1 квартал'!E29+'май 2024'!E29</f>
        <v>31312</v>
      </c>
      <c r="F29" s="2">
        <f t="shared" si="3"/>
        <v>5976</v>
      </c>
    </row>
    <row r="30" spans="1:6" ht="24" customHeight="1">
      <c r="A30" s="1" t="s">
        <v>22</v>
      </c>
      <c r="B30" s="41">
        <f>17+'май 2024'!B30</f>
        <v>17</v>
      </c>
      <c r="C30" s="41">
        <f>0+'май 2024'!C30</f>
        <v>0</v>
      </c>
      <c r="D30" s="2">
        <f>30420+'май 2024'!D30</f>
        <v>30420</v>
      </c>
      <c r="E30" s="2">
        <f>0+'май 2024'!E30</f>
        <v>0</v>
      </c>
      <c r="F30" s="2">
        <f t="shared" si="3"/>
        <v>-30420</v>
      </c>
    </row>
    <row r="31" spans="1:6" ht="24" customHeight="1">
      <c r="A31" s="1" t="s">
        <v>23</v>
      </c>
      <c r="B31" s="41">
        <f>'за 1 квартал'!B31+'май 2024'!B31</f>
        <v>11</v>
      </c>
      <c r="C31" s="41">
        <f>'за 1 квартал'!C31+'май 2024'!C31</f>
        <v>0</v>
      </c>
      <c r="D31" s="2">
        <f>'за 1 квартал'!D31+'май 2024'!D31</f>
        <v>3500</v>
      </c>
      <c r="E31" s="2">
        <f>'за 1 квартал'!E31+'май 2024'!E31</f>
        <v>0</v>
      </c>
      <c r="F31" s="2">
        <f t="shared" si="3"/>
        <v>-3500</v>
      </c>
    </row>
    <row r="32" spans="1:6" ht="24" customHeight="1">
      <c r="A32" s="1" t="s">
        <v>24</v>
      </c>
      <c r="B32" s="41">
        <f>4+6+'май 2024'!B32</f>
        <v>10</v>
      </c>
      <c r="C32" s="41">
        <f>29+27+'май 2024'!C32</f>
        <v>83</v>
      </c>
      <c r="D32" s="2">
        <f>16400+5280+'май 2024'!D32</f>
        <v>21680</v>
      </c>
      <c r="E32" s="2">
        <f>70650.2+30490+'май 2024'!E32</f>
        <v>122260.2</v>
      </c>
      <c r="F32" s="2">
        <f t="shared" si="3"/>
        <v>100580.2</v>
      </c>
    </row>
    <row r="33" spans="1:6" ht="24" customHeight="1">
      <c r="A33" s="3" t="s">
        <v>37</v>
      </c>
      <c r="B33" s="14">
        <f t="shared" ref="B33:F33" si="4">SUM(B22:B32)</f>
        <v>1230</v>
      </c>
      <c r="C33" s="14">
        <f t="shared" si="4"/>
        <v>2052</v>
      </c>
      <c r="D33" s="7">
        <f t="shared" si="4"/>
        <v>1106061.2</v>
      </c>
      <c r="E33" s="7">
        <f t="shared" si="4"/>
        <v>1553534.8599999999</v>
      </c>
      <c r="F33" s="7">
        <f t="shared" si="4"/>
        <v>447473.66000000003</v>
      </c>
    </row>
    <row r="34" spans="1:6" ht="24" customHeight="1">
      <c r="A34" s="76" t="s">
        <v>25</v>
      </c>
      <c r="B34" s="77"/>
      <c r="C34" s="77"/>
      <c r="D34" s="77"/>
      <c r="E34" s="77"/>
      <c r="F34" s="78"/>
    </row>
    <row r="35" spans="1:6" ht="24" customHeight="1">
      <c r="A35" s="1" t="s">
        <v>26</v>
      </c>
      <c r="B35" s="41">
        <f>25158+'за 1 квартал'!B35+'май 2024'!B35</f>
        <v>117924</v>
      </c>
      <c r="C35" s="41">
        <f>33880+'за 1 квартал'!C35+'май 2024'!C35</f>
        <v>162582</v>
      </c>
      <c r="D35" s="2">
        <f>2101944.18+'за 1 квартал'!D35+'май 2024'!D35</f>
        <v>8277784.7199999997</v>
      </c>
      <c r="E35" s="2">
        <f>2504430.39+'за 1 квартал'!E35+'май 2024'!E35</f>
        <v>10563142.890000001</v>
      </c>
      <c r="F35" s="2">
        <f>E35-D35</f>
        <v>2285358.1700000009</v>
      </c>
    </row>
    <row r="36" spans="1:6" ht="24" customHeight="1">
      <c r="A36" s="1" t="s">
        <v>27</v>
      </c>
      <c r="B36" s="41">
        <f>1146+402+'май 2024'!B36</f>
        <v>2280</v>
      </c>
      <c r="C36" s="41">
        <f>1094+460+'май 2024'!C36</f>
        <v>2214</v>
      </c>
      <c r="D36" s="2">
        <f>381637.72+61407.43+'май 2024'!D36</f>
        <v>680698.49</v>
      </c>
      <c r="E36" s="2">
        <f>334246.15+128540.65+'май 2024'!E36</f>
        <v>734684.8600000001</v>
      </c>
      <c r="F36" s="2">
        <f>E36-D36</f>
        <v>53986.370000000112</v>
      </c>
    </row>
    <row r="37" spans="1:6" ht="24" customHeight="1">
      <c r="A37" s="34" t="s">
        <v>28</v>
      </c>
      <c r="B37" s="41">
        <f>74+29+'май 2024'!B37</f>
        <v>127</v>
      </c>
      <c r="C37" s="41">
        <f>75+28+'май 2024'!C37</f>
        <v>131</v>
      </c>
      <c r="D37" s="2">
        <f>331885.76+143638.56+'май 2024'!D37</f>
        <v>548952.32000000007</v>
      </c>
      <c r="E37" s="2">
        <f>276715.06+113209+'май 2024'!E37</f>
        <v>462898.06</v>
      </c>
      <c r="F37" s="2">
        <f>E37-D37</f>
        <v>-86054.260000000068</v>
      </c>
    </row>
    <row r="38" spans="1:6" ht="31.5">
      <c r="A38" s="3" t="s">
        <v>34</v>
      </c>
      <c r="B38" s="14">
        <f>SUM(B35:B37)</f>
        <v>120331</v>
      </c>
      <c r="C38" s="14">
        <f>SUM(C35:C37)</f>
        <v>164927</v>
      </c>
      <c r="D38" s="7">
        <f>SUM(D35:D37)</f>
        <v>9507435.5299999993</v>
      </c>
      <c r="E38" s="7">
        <f>SUM(E35:E37)</f>
        <v>11760725.810000001</v>
      </c>
      <c r="F38" s="7">
        <f>SUM(F35:F37)</f>
        <v>2253290.2800000007</v>
      </c>
    </row>
    <row r="39" spans="1:6" ht="31.5">
      <c r="A39" s="4" t="s">
        <v>35</v>
      </c>
      <c r="B39" s="14">
        <f>B20+B33+B38</f>
        <v>128251</v>
      </c>
      <c r="C39" s="14">
        <f>C20+C33+C38</f>
        <v>176955</v>
      </c>
      <c r="D39" s="7">
        <f>D20+D33+D38</f>
        <v>13335703.869999999</v>
      </c>
      <c r="E39" s="7">
        <f>E20+E33+E38</f>
        <v>17120220.310000002</v>
      </c>
      <c r="F39" s="7">
        <f>F20+F33+F38</f>
        <v>3784516.4400000009</v>
      </c>
    </row>
    <row r="40" spans="1:6" ht="24" customHeight="1">
      <c r="A40" s="70" t="s">
        <v>42</v>
      </c>
      <c r="B40" s="71"/>
      <c r="C40" s="71"/>
      <c r="D40" s="71"/>
      <c r="E40" s="71"/>
      <c r="F40" s="72"/>
    </row>
    <row r="41" spans="1:6" ht="24" customHeight="1">
      <c r="A41" s="1" t="s">
        <v>30</v>
      </c>
      <c r="B41" s="5">
        <f>3018+'за 1 квартал'!B41+'май 2024'!B41</f>
        <v>18305</v>
      </c>
      <c r="C41" s="5">
        <f>2034+'за 1 квартал'!C41+'май 2024'!C41</f>
        <v>11651</v>
      </c>
      <c r="D41" s="2">
        <f>2885442.01+'за 1 квартал'!D41+'май 2024'!D41</f>
        <v>7806163.8799999999</v>
      </c>
      <c r="E41" s="2">
        <f>1182786.68+'за 1 квартал'!E41+'май 2024'!E41</f>
        <v>4733525.0599999996</v>
      </c>
      <c r="F41" s="2">
        <f>E41-D41</f>
        <v>-3072638.8200000003</v>
      </c>
    </row>
    <row r="42" spans="1:6" ht="24" customHeight="1">
      <c r="A42" s="1" t="s">
        <v>32</v>
      </c>
      <c r="B42" s="41">
        <f>610+'за 1 квартал'!B42+'май 2024'!B42</f>
        <v>2879</v>
      </c>
      <c r="C42" s="41">
        <f>1592+'за 1 квартал'!C42+'май 2024'!C42</f>
        <v>10746</v>
      </c>
      <c r="D42" s="2">
        <f>365940+'за 1 квартал'!D42+'май 2024'!D42</f>
        <v>1825735</v>
      </c>
      <c r="E42" s="2">
        <f>568876+'за 1 квартал'!E42+'май 2024'!E42</f>
        <v>2721851</v>
      </c>
      <c r="F42" s="2">
        <f t="shared" ref="F42:F47" si="5">E42-D42</f>
        <v>896116</v>
      </c>
    </row>
    <row r="43" spans="1:6" ht="24" customHeight="1">
      <c r="A43" s="1" t="s">
        <v>3</v>
      </c>
      <c r="B43" s="5">
        <f>1505+741+'май 2024'!B43</f>
        <v>2926</v>
      </c>
      <c r="C43" s="5">
        <f>2739+491+'май 2024'!C43</f>
        <v>3690</v>
      </c>
      <c r="D43" s="2">
        <f>132362+106126+'май 2024'!D43</f>
        <v>310275</v>
      </c>
      <c r="E43" s="2">
        <f>252575+82126+'май 2024'!E43</f>
        <v>380066</v>
      </c>
      <c r="F43" s="2">
        <f t="shared" si="5"/>
        <v>69791</v>
      </c>
    </row>
    <row r="44" spans="1:6" ht="24" customHeight="1">
      <c r="A44" s="1" t="s">
        <v>4</v>
      </c>
      <c r="B44" s="5">
        <f>3357+1544+'май 2024'!B44</f>
        <v>6583</v>
      </c>
      <c r="C44" s="5">
        <f>7710+1271+'май 2024'!C44</f>
        <v>10960</v>
      </c>
      <c r="D44" s="2">
        <f>399650+177000+'май 2024'!D44</f>
        <v>711650</v>
      </c>
      <c r="E44" s="2">
        <f>663110+212200+'май 2024'!E44</f>
        <v>1017410</v>
      </c>
      <c r="F44" s="2">
        <f t="shared" si="5"/>
        <v>305760</v>
      </c>
    </row>
    <row r="45" spans="1:6" ht="24" customHeight="1">
      <c r="A45" s="1" t="s">
        <v>31</v>
      </c>
      <c r="B45" s="5">
        <f>10+2+'май 2024'!B45</f>
        <v>13</v>
      </c>
      <c r="C45" s="5">
        <f>6+2+'май 2024'!C45</f>
        <v>55</v>
      </c>
      <c r="D45" s="2">
        <f>46000+0+'май 2024'!D45</f>
        <v>51500</v>
      </c>
      <c r="E45" s="2">
        <f>16500+25000+'май 2024'!E45</f>
        <v>48000</v>
      </c>
      <c r="F45" s="2">
        <f t="shared" si="5"/>
        <v>-3500</v>
      </c>
    </row>
    <row r="46" spans="1:6" ht="24" customHeight="1">
      <c r="A46" s="1" t="s">
        <v>2</v>
      </c>
      <c r="B46" s="41">
        <f>751+146+'май 2024'!B46</f>
        <v>1046</v>
      </c>
      <c r="C46" s="41">
        <f>844+375+'май 2024'!C46</f>
        <v>1517</v>
      </c>
      <c r="D46" s="2">
        <f>384020+143480+'май 2024'!D46</f>
        <v>679740</v>
      </c>
      <c r="E46" s="2">
        <f>683330+275759.14+'май 2024'!E46</f>
        <v>1354359.1400000001</v>
      </c>
      <c r="F46" s="2">
        <f t="shared" si="5"/>
        <v>674619.14000000013</v>
      </c>
    </row>
    <row r="47" spans="1:6" ht="24" customHeight="1">
      <c r="A47" s="1" t="s">
        <v>5</v>
      </c>
      <c r="B47" s="5">
        <f>11377+3800+'май 2024'!B47</f>
        <v>24673</v>
      </c>
      <c r="C47" s="5">
        <f>7710+2201+'май 2024'!C47</f>
        <v>12747</v>
      </c>
      <c r="D47" s="2">
        <f>2370050+713400+'май 2024'!D47</f>
        <v>4541500</v>
      </c>
      <c r="E47" s="2">
        <f>2440935+804785+'май 2024'!E47</f>
        <v>3801720</v>
      </c>
      <c r="F47" s="2">
        <f t="shared" si="5"/>
        <v>-739780</v>
      </c>
    </row>
    <row r="48" spans="1:6" ht="32.450000000000003" customHeight="1">
      <c r="A48" s="6" t="s">
        <v>43</v>
      </c>
      <c r="B48" s="8">
        <f>SUM(B41:B47)</f>
        <v>56425</v>
      </c>
      <c r="C48" s="8">
        <f>SUM(C41:C47)</f>
        <v>51366</v>
      </c>
      <c r="D48" s="7">
        <f>SUM(D41:D47)</f>
        <v>15926563.879999999</v>
      </c>
      <c r="E48" s="7">
        <f>SUM(E41:E47)</f>
        <v>14056931.199999999</v>
      </c>
      <c r="F48" s="7">
        <f>SUM(F41:F47)</f>
        <v>-1869632.6800000002</v>
      </c>
    </row>
    <row r="49" spans="1:7" ht="42.6" customHeight="1">
      <c r="A49" s="4" t="s">
        <v>36</v>
      </c>
      <c r="B49" s="8">
        <f>B39+B48</f>
        <v>184676</v>
      </c>
      <c r="C49" s="8">
        <f>C39+C48</f>
        <v>228321</v>
      </c>
      <c r="D49" s="7">
        <f>D39+D48</f>
        <v>29262267.75</v>
      </c>
      <c r="E49" s="7">
        <f t="shared" ref="E49:F49" si="6">E39+E48</f>
        <v>31177151.510000002</v>
      </c>
      <c r="F49" s="7">
        <f t="shared" si="6"/>
        <v>1914883.7600000007</v>
      </c>
    </row>
    <row r="50" spans="1:7" ht="22.9" customHeight="1">
      <c r="A50" s="9"/>
      <c r="B50" s="10"/>
      <c r="C50" s="10"/>
      <c r="D50" s="11"/>
      <c r="E50" s="12"/>
      <c r="F50" s="11"/>
    </row>
    <row r="51" spans="1:7" s="15" customFormat="1" ht="28.5" customHeight="1">
      <c r="A51" s="16"/>
      <c r="B51" s="13"/>
      <c r="C51" s="13"/>
      <c r="D51" s="13"/>
      <c r="E51" s="17"/>
      <c r="F51" s="13"/>
    </row>
    <row r="52" spans="1:7" ht="60.75" customHeight="1">
      <c r="A52" s="19"/>
      <c r="E52" s="17"/>
      <c r="G52" s="18"/>
    </row>
    <row r="53" spans="1:7">
      <c r="A53" s="69"/>
      <c r="B53" s="69"/>
      <c r="C53" s="69"/>
      <c r="D53" s="69"/>
      <c r="E53" s="69"/>
      <c r="F53" s="69"/>
    </row>
    <row r="54" spans="1:7" hidden="1"/>
  </sheetData>
  <mergeCells count="12">
    <mergeCell ref="A53:F53"/>
    <mergeCell ref="A1:F1"/>
    <mergeCell ref="A4:F5"/>
    <mergeCell ref="A6:A8"/>
    <mergeCell ref="B6:C7"/>
    <mergeCell ref="D6:E7"/>
    <mergeCell ref="F6:F8"/>
    <mergeCell ref="A10:F10"/>
    <mergeCell ref="A11:F11"/>
    <mergeCell ref="A21:F21"/>
    <mergeCell ref="A34:F34"/>
    <mergeCell ref="A40:F40"/>
  </mergeCells>
  <pageMargins left="0.78740157480314965" right="0" top="0.34" bottom="0.39370078740157483" header="0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/>
  <dimension ref="A1:G55"/>
  <sheetViews>
    <sheetView view="pageBreakPreview" topLeftCell="A7" zoomScale="70" zoomScaleSheetLayoutView="70" workbookViewId="0">
      <selection activeCell="F25" sqref="F25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16384" width="9.140625" style="13"/>
  </cols>
  <sheetData>
    <row r="1" spans="1:6" ht="7.15" customHeight="1">
      <c r="A1" s="60"/>
      <c r="B1" s="60"/>
      <c r="C1" s="60"/>
      <c r="D1" s="60"/>
      <c r="E1" s="60"/>
      <c r="F1" s="60"/>
    </row>
    <row r="2" spans="1:6" ht="7.5" customHeight="1">
      <c r="A2" s="35"/>
    </row>
    <row r="3" spans="1:6" ht="4.5" hidden="1" customHeight="1">
      <c r="A3" s="35"/>
    </row>
    <row r="4" spans="1:6" ht="51" customHeight="1">
      <c r="A4" s="61" t="s">
        <v>44</v>
      </c>
      <c r="B4" s="61"/>
      <c r="C4" s="61"/>
      <c r="D4" s="61"/>
      <c r="E4" s="61"/>
      <c r="F4" s="61"/>
    </row>
    <row r="5" spans="1:6" ht="19.5" customHeight="1">
      <c r="A5" s="62"/>
      <c r="B5" s="62"/>
      <c r="C5" s="62"/>
      <c r="D5" s="62"/>
      <c r="E5" s="62"/>
      <c r="F5" s="62"/>
    </row>
    <row r="6" spans="1:6" ht="31.5" customHeight="1">
      <c r="A6" s="63" t="s">
        <v>0</v>
      </c>
      <c r="B6" s="64" t="s">
        <v>40</v>
      </c>
      <c r="C6" s="65"/>
      <c r="D6" s="64" t="s">
        <v>41</v>
      </c>
      <c r="E6" s="65"/>
      <c r="F6" s="63" t="s">
        <v>45</v>
      </c>
    </row>
    <row r="7" spans="1:6" ht="21.75" customHeight="1">
      <c r="A7" s="63"/>
      <c r="B7" s="66"/>
      <c r="C7" s="67"/>
      <c r="D7" s="66"/>
      <c r="E7" s="67"/>
      <c r="F7" s="63"/>
    </row>
    <row r="8" spans="1:6" ht="21.75" customHeight="1">
      <c r="A8" s="63"/>
      <c r="B8" s="20" t="s">
        <v>50</v>
      </c>
      <c r="C8" s="20" t="s">
        <v>51</v>
      </c>
      <c r="D8" s="20" t="s">
        <v>50</v>
      </c>
      <c r="E8" s="20" t="s">
        <v>51</v>
      </c>
      <c r="F8" s="63"/>
    </row>
    <row r="9" spans="1:6" ht="15" customHeight="1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</row>
    <row r="10" spans="1:6" ht="21.75" customHeight="1">
      <c r="A10" s="70" t="s">
        <v>38</v>
      </c>
      <c r="B10" s="71"/>
      <c r="C10" s="71"/>
      <c r="D10" s="71"/>
      <c r="E10" s="71"/>
      <c r="F10" s="72"/>
    </row>
    <row r="11" spans="1:6" ht="16.5" customHeight="1">
      <c r="A11" s="70" t="s">
        <v>1</v>
      </c>
      <c r="B11" s="71"/>
      <c r="C11" s="71"/>
      <c r="D11" s="71"/>
      <c r="E11" s="71"/>
      <c r="F11" s="72"/>
    </row>
    <row r="12" spans="1:6" ht="24" customHeight="1">
      <c r="A12" s="1" t="s">
        <v>6</v>
      </c>
      <c r="B12" s="36">
        <f>0+'за 1 квартал'!B11</f>
        <v>49</v>
      </c>
      <c r="C12" s="36">
        <f>0+'за 1 квартал'!C11</f>
        <v>0</v>
      </c>
      <c r="D12" s="2">
        <f>6324+'за 1 квартал'!D11</f>
        <v>29744</v>
      </c>
      <c r="E12" s="2">
        <f>0+'за 1 квартал'!E11</f>
        <v>0</v>
      </c>
      <c r="F12" s="2">
        <f t="shared" ref="F12:F14" si="0">E12-D12</f>
        <v>-29744</v>
      </c>
    </row>
    <row r="13" spans="1:6" ht="24" customHeight="1">
      <c r="A13" s="1" t="s">
        <v>7</v>
      </c>
      <c r="B13" s="36">
        <f>228+'за 1 квартал'!B12</f>
        <v>922</v>
      </c>
      <c r="C13" s="36">
        <f>336+'за 1 квартал'!C12</f>
        <v>1294</v>
      </c>
      <c r="D13" s="2">
        <f>101202+'за 1 квартал'!D12</f>
        <v>366033</v>
      </c>
      <c r="E13" s="2">
        <f>160879+'за 1 квартал'!E12</f>
        <v>568726</v>
      </c>
      <c r="F13" s="2">
        <f t="shared" si="0"/>
        <v>202693</v>
      </c>
    </row>
    <row r="14" spans="1:6" ht="24" customHeight="1">
      <c r="A14" s="1" t="s">
        <v>8</v>
      </c>
      <c r="B14" s="36">
        <f>164+'за 1 квартал'!B13</f>
        <v>709</v>
      </c>
      <c r="C14" s="36">
        <f>136+'за 1 квартал'!C13</f>
        <v>619</v>
      </c>
      <c r="D14" s="2">
        <f>67401+'за 1 квартал'!D13</f>
        <v>290044</v>
      </c>
      <c r="E14" s="2">
        <f>64185+'за 1 квартал'!E13</f>
        <v>205435</v>
      </c>
      <c r="F14" s="2">
        <f t="shared" si="0"/>
        <v>-84609</v>
      </c>
    </row>
    <row r="15" spans="1:6" ht="24" customHeight="1">
      <c r="A15" s="1" t="s">
        <v>9</v>
      </c>
      <c r="B15" s="36">
        <v>0</v>
      </c>
      <c r="C15" s="36">
        <f>85+85</f>
        <v>170</v>
      </c>
      <c r="D15" s="2">
        <v>0</v>
      </c>
      <c r="E15" s="2">
        <f>64000+31819</f>
        <v>95819</v>
      </c>
      <c r="F15" s="2">
        <f>E15-D15</f>
        <v>95819</v>
      </c>
    </row>
    <row r="16" spans="1:6" ht="24" customHeight="1">
      <c r="A16" s="1" t="s">
        <v>29</v>
      </c>
      <c r="B16" s="36">
        <f>620+'за 1 квартал'!B15</f>
        <v>2292</v>
      </c>
      <c r="C16" s="36">
        <f>620+'за 1 квартал'!C15</f>
        <v>2619</v>
      </c>
      <c r="D16" s="2">
        <f>265950.85+'за 1 квартал'!D15</f>
        <v>871568.14</v>
      </c>
      <c r="E16" s="2">
        <f>381516.15+'за 1 квартал'!E15</f>
        <v>1226833.6400000001</v>
      </c>
      <c r="F16" s="2">
        <f t="shared" ref="F16:F20" si="1">E16-D16</f>
        <v>355265.50000000012</v>
      </c>
    </row>
    <row r="17" spans="1:6" ht="24" customHeight="1">
      <c r="A17" s="1" t="s">
        <v>10</v>
      </c>
      <c r="B17" s="39">
        <v>590</v>
      </c>
      <c r="C17" s="39">
        <v>1157</v>
      </c>
      <c r="D17" s="2">
        <f>17076+'за 1 квартал'!D16</f>
        <v>79664</v>
      </c>
      <c r="E17" s="2">
        <f>108619+'за 1 квартал'!E16</f>
        <v>449537</v>
      </c>
      <c r="F17" s="2">
        <f t="shared" si="1"/>
        <v>369873</v>
      </c>
    </row>
    <row r="18" spans="1:6" ht="34.15" customHeight="1">
      <c r="A18" s="1" t="s">
        <v>39</v>
      </c>
      <c r="B18" s="36">
        <f>'за 1 квартал'!B17+68</f>
        <v>436</v>
      </c>
      <c r="C18" s="36">
        <f>'за 1 квартал'!C17+124</f>
        <v>1954</v>
      </c>
      <c r="D18" s="2">
        <f>'за 1 квартал'!D17+17589</f>
        <v>211983</v>
      </c>
      <c r="E18" s="2">
        <f>'за 1 квартал'!E17+77141</f>
        <v>253998</v>
      </c>
      <c r="F18" s="2">
        <f>E18-D18</f>
        <v>42015</v>
      </c>
    </row>
    <row r="19" spans="1:6" ht="24" customHeight="1">
      <c r="A19" s="1" t="s">
        <v>11</v>
      </c>
      <c r="B19" s="36">
        <f>104+'за 1 квартал'!B18</f>
        <v>443</v>
      </c>
      <c r="C19" s="36">
        <f>106+'за 1 квартал'!C18</f>
        <v>385</v>
      </c>
      <c r="D19" s="2">
        <f>48557+'за 1 квартал'!D18</f>
        <v>154548</v>
      </c>
      <c r="E19" s="2">
        <f>35335+'за 1 квартал'!E18</f>
        <v>129535</v>
      </c>
      <c r="F19" s="2">
        <f t="shared" si="1"/>
        <v>-25013</v>
      </c>
    </row>
    <row r="20" spans="1:6" ht="24" customHeight="1">
      <c r="A20" s="1" t="s">
        <v>12</v>
      </c>
      <c r="B20" s="36">
        <f>71+'за 1 квартал'!B19</f>
        <v>142</v>
      </c>
      <c r="C20" s="36">
        <f>55+'за 1 квартал'!C19</f>
        <v>110</v>
      </c>
      <c r="D20" s="2">
        <f>18729+'за 1 квартал'!D19</f>
        <v>58525</v>
      </c>
      <c r="E20" s="2">
        <f>14890+'за 1 квартал'!E19</f>
        <v>65599</v>
      </c>
      <c r="F20" s="2">
        <f t="shared" si="1"/>
        <v>7074</v>
      </c>
    </row>
    <row r="21" spans="1:6" ht="24" customHeight="1">
      <c r="A21" s="3" t="s">
        <v>33</v>
      </c>
      <c r="B21" s="14">
        <f>SUM(B12:B20)</f>
        <v>5583</v>
      </c>
      <c r="C21" s="14">
        <f>SUM(C12:C20)</f>
        <v>8308</v>
      </c>
      <c r="D21" s="7">
        <f>SUM(D12:D20)</f>
        <v>2062109.1400000001</v>
      </c>
      <c r="E21" s="7">
        <f>SUM(E12:E20)</f>
        <v>2995482.64</v>
      </c>
      <c r="F21" s="7">
        <f>SUM(F12:F20)</f>
        <v>933373.50000000012</v>
      </c>
    </row>
    <row r="22" spans="1:6" ht="24" customHeight="1">
      <c r="A22" s="73" t="s">
        <v>13</v>
      </c>
      <c r="B22" s="74"/>
      <c r="C22" s="74"/>
      <c r="D22" s="74"/>
      <c r="E22" s="74"/>
      <c r="F22" s="75"/>
    </row>
    <row r="23" spans="1:6" ht="24" customHeight="1">
      <c r="A23" s="1" t="s">
        <v>14</v>
      </c>
      <c r="B23" s="36">
        <f>73+'за 1 квартал'!B22</f>
        <v>447</v>
      </c>
      <c r="C23" s="36">
        <f>113+'за 1 квартал'!C22</f>
        <v>497</v>
      </c>
      <c r="D23" s="2">
        <f>50324+'за 1 квартал'!D22</f>
        <v>222606.74</v>
      </c>
      <c r="E23" s="2">
        <f>81260+'за 1 квартал'!E22</f>
        <v>376197</v>
      </c>
      <c r="F23" s="2">
        <f t="shared" ref="F23:F25" si="2">E23-D23</f>
        <v>153590.26</v>
      </c>
    </row>
    <row r="24" spans="1:6" ht="24" customHeight="1">
      <c r="A24" s="1" t="s">
        <v>15</v>
      </c>
      <c r="B24" s="36">
        <f>69+'за 1 квартал'!B23</f>
        <v>138</v>
      </c>
      <c r="C24" s="36">
        <f>84+'за 1 квартал'!C23</f>
        <v>162</v>
      </c>
      <c r="D24" s="2">
        <f>39167.9+'за 1 квартал'!D23</f>
        <v>160056.25</v>
      </c>
      <c r="E24" s="2">
        <f>55889.99+'за 1 квартал'!E23</f>
        <v>195496.88999999998</v>
      </c>
      <c r="F24" s="2">
        <f t="shared" si="2"/>
        <v>35440.639999999985</v>
      </c>
    </row>
    <row r="25" spans="1:6" ht="24" customHeight="1">
      <c r="A25" s="1" t="s">
        <v>16</v>
      </c>
      <c r="B25" s="36">
        <f>17+'за 1 квартал'!B24</f>
        <v>55</v>
      </c>
      <c r="C25" s="36">
        <f>24+'за 1 квартал'!C24</f>
        <v>77</v>
      </c>
      <c r="D25" s="2">
        <f>28540+'за 1 квартал'!D24</f>
        <v>158180</v>
      </c>
      <c r="E25" s="2">
        <f>27705.6+'за 1 квартал'!E24</f>
        <v>81260.799999999988</v>
      </c>
      <c r="F25" s="2">
        <f t="shared" si="2"/>
        <v>-76919.200000000012</v>
      </c>
    </row>
    <row r="26" spans="1:6" ht="24" customHeight="1">
      <c r="A26" s="1" t="s">
        <v>17</v>
      </c>
      <c r="B26" s="36">
        <f>173+2</f>
        <v>175</v>
      </c>
      <c r="C26" s="36">
        <f>715+4</f>
        <v>719</v>
      </c>
      <c r="D26" s="2">
        <f>306465+10644</f>
        <v>317109</v>
      </c>
      <c r="E26" s="2">
        <f>444825.6+22160</f>
        <v>466985.6</v>
      </c>
      <c r="F26" s="2">
        <f>E26-D26</f>
        <v>149876.59999999998</v>
      </c>
    </row>
    <row r="27" spans="1:6" ht="24" customHeight="1">
      <c r="A27" s="1" t="s">
        <v>18</v>
      </c>
      <c r="B27" s="36">
        <v>18</v>
      </c>
      <c r="C27" s="36">
        <v>11</v>
      </c>
      <c r="D27" s="2">
        <v>24940</v>
      </c>
      <c r="E27" s="2">
        <v>0</v>
      </c>
      <c r="F27" s="2">
        <f t="shared" ref="F27:F33" si="3">E27-D27</f>
        <v>-24940</v>
      </c>
    </row>
    <row r="28" spans="1:6" ht="24" customHeight="1">
      <c r="A28" s="1" t="s">
        <v>19</v>
      </c>
      <c r="B28" s="36">
        <f>11+'за 1 квартал'!B27</f>
        <v>101</v>
      </c>
      <c r="C28" s="36">
        <f>19+'за 1 квартал'!C27</f>
        <v>73</v>
      </c>
      <c r="D28" s="2">
        <f>2334.27+'за 1 квартал'!D27</f>
        <v>19638.740000000002</v>
      </c>
      <c r="E28" s="2">
        <f>3343.05+'за 1 квартал'!E27</f>
        <v>9583.41</v>
      </c>
      <c r="F28" s="2">
        <f t="shared" si="3"/>
        <v>-10055.330000000002</v>
      </c>
    </row>
    <row r="29" spans="1:6" ht="24" customHeight="1">
      <c r="A29" s="1" t="s">
        <v>20</v>
      </c>
      <c r="B29" s="36">
        <f>49+47</f>
        <v>96</v>
      </c>
      <c r="C29" s="36">
        <f>66+68</f>
        <v>134</v>
      </c>
      <c r="D29" s="2">
        <f>49836.84+15283.67</f>
        <v>65120.509999999995</v>
      </c>
      <c r="E29" s="2">
        <f>63739.87+29239.16</f>
        <v>92979.03</v>
      </c>
      <c r="F29" s="2">
        <f t="shared" si="3"/>
        <v>27858.520000000004</v>
      </c>
    </row>
    <row r="30" spans="1:6" ht="24" customHeight="1">
      <c r="A30" s="1" t="s">
        <v>21</v>
      </c>
      <c r="B30" s="36">
        <f>0+'за 1 квартал'!B29</f>
        <v>17</v>
      </c>
      <c r="C30" s="36">
        <f>0+'за 1 квартал'!C29</f>
        <v>19</v>
      </c>
      <c r="D30" s="2">
        <f>0+'за 1 квартал'!D29</f>
        <v>25336</v>
      </c>
      <c r="E30" s="2">
        <f>0+'за 1 квартал'!E29</f>
        <v>31312</v>
      </c>
      <c r="F30" s="2">
        <f t="shared" si="3"/>
        <v>5976</v>
      </c>
    </row>
    <row r="31" spans="1:6" ht="24" customHeight="1">
      <c r="A31" s="1" t="s">
        <v>22</v>
      </c>
      <c r="B31" s="36">
        <v>17</v>
      </c>
      <c r="C31" s="36">
        <v>0</v>
      </c>
      <c r="D31" s="2">
        <v>30420</v>
      </c>
      <c r="E31" s="2">
        <v>0</v>
      </c>
      <c r="F31" s="2">
        <f t="shared" si="3"/>
        <v>-30420</v>
      </c>
    </row>
    <row r="32" spans="1:6" ht="24" customHeight="1">
      <c r="A32" s="1" t="s">
        <v>23</v>
      </c>
      <c r="B32" s="36">
        <f>'за 1 квартал'!B31</f>
        <v>11</v>
      </c>
      <c r="C32" s="36">
        <f>'за 1 квартал'!C31</f>
        <v>0</v>
      </c>
      <c r="D32" s="2">
        <f>'за 1 квартал'!D31</f>
        <v>3500</v>
      </c>
      <c r="E32" s="2">
        <f>'за 1 квартал'!E31</f>
        <v>0</v>
      </c>
      <c r="F32" s="2">
        <f t="shared" si="3"/>
        <v>-3500</v>
      </c>
    </row>
    <row r="33" spans="1:6" ht="24" customHeight="1">
      <c r="A33" s="1" t="s">
        <v>24</v>
      </c>
      <c r="B33" s="36">
        <f>4+6</f>
        <v>10</v>
      </c>
      <c r="C33" s="36">
        <f>29+27</f>
        <v>56</v>
      </c>
      <c r="D33" s="2">
        <f>16400+5280</f>
        <v>21680</v>
      </c>
      <c r="E33" s="2">
        <f>70650.2+30490</f>
        <v>101140.2</v>
      </c>
      <c r="F33" s="2">
        <f t="shared" si="3"/>
        <v>79460.2</v>
      </c>
    </row>
    <row r="34" spans="1:6" ht="24" customHeight="1">
      <c r="A34" s="3" t="s">
        <v>37</v>
      </c>
      <c r="B34" s="14">
        <f t="shared" ref="B34:F34" si="4">SUM(B23:B33)</f>
        <v>1085</v>
      </c>
      <c r="C34" s="14">
        <f t="shared" si="4"/>
        <v>1748</v>
      </c>
      <c r="D34" s="7">
        <f t="shared" si="4"/>
        <v>1048587.24</v>
      </c>
      <c r="E34" s="7">
        <f t="shared" si="4"/>
        <v>1354954.93</v>
      </c>
      <c r="F34" s="7">
        <f t="shared" si="4"/>
        <v>306367.69</v>
      </c>
    </row>
    <row r="35" spans="1:6" ht="24" customHeight="1">
      <c r="A35" s="76" t="s">
        <v>25</v>
      </c>
      <c r="B35" s="77"/>
      <c r="C35" s="77"/>
      <c r="D35" s="77"/>
      <c r="E35" s="77"/>
      <c r="F35" s="78"/>
    </row>
    <row r="36" spans="1:6" ht="24" customHeight="1">
      <c r="A36" s="1" t="s">
        <v>26</v>
      </c>
      <c r="B36" s="36">
        <f>25158+'за 1 квартал'!B35</f>
        <v>91964</v>
      </c>
      <c r="C36" s="36">
        <f>33880+'за 1 квартал'!C35</f>
        <v>122287</v>
      </c>
      <c r="D36" s="2">
        <f>2101944.18+'за 1 квартал'!D35</f>
        <v>6503186.5199999996</v>
      </c>
      <c r="E36" s="2">
        <f>2504430.39+'за 1 квартал'!E35</f>
        <v>8092012.1400000006</v>
      </c>
      <c r="F36" s="2">
        <f>E36-D36</f>
        <v>1588825.620000001</v>
      </c>
    </row>
    <row r="37" spans="1:6" ht="24" customHeight="1">
      <c r="A37" s="1" t="s">
        <v>27</v>
      </c>
      <c r="B37" s="36">
        <f>1146+402</f>
        <v>1548</v>
      </c>
      <c r="C37" s="36">
        <f>1094+460</f>
        <v>1554</v>
      </c>
      <c r="D37" s="2">
        <f>381637.72+61407.43</f>
        <v>443045.14999999997</v>
      </c>
      <c r="E37" s="2">
        <f>334246.15+128540.65</f>
        <v>462786.80000000005</v>
      </c>
      <c r="F37" s="2">
        <f>E37-D37</f>
        <v>19741.650000000081</v>
      </c>
    </row>
    <row r="38" spans="1:6" ht="24" customHeight="1">
      <c r="A38" s="34" t="s">
        <v>28</v>
      </c>
      <c r="B38" s="36">
        <f>74+29</f>
        <v>103</v>
      </c>
      <c r="C38" s="36">
        <f>75+28</f>
        <v>103</v>
      </c>
      <c r="D38" s="2">
        <f>331885.76+143638.56</f>
        <v>475524.32</v>
      </c>
      <c r="E38" s="2">
        <f>276715.06+113209</f>
        <v>389924.06</v>
      </c>
      <c r="F38" s="2">
        <f>E38-D38</f>
        <v>-85600.260000000009</v>
      </c>
    </row>
    <row r="39" spans="1:6" ht="31.5">
      <c r="A39" s="3" t="s">
        <v>34</v>
      </c>
      <c r="B39" s="14">
        <f>SUM(B36:B38)</f>
        <v>93615</v>
      </c>
      <c r="C39" s="14">
        <f>SUM(C36:C38)</f>
        <v>123944</v>
      </c>
      <c r="D39" s="7">
        <f>SUM(D36:D38)</f>
        <v>7421755.9900000002</v>
      </c>
      <c r="E39" s="7">
        <f>SUM(E36:E38)</f>
        <v>8944723.0000000019</v>
      </c>
      <c r="F39" s="7">
        <f>SUM(F36:F38)</f>
        <v>1522967.0100000012</v>
      </c>
    </row>
    <row r="40" spans="1:6" ht="31.5">
      <c r="A40" s="4" t="s">
        <v>35</v>
      </c>
      <c r="B40" s="14">
        <f>B21+B34+B39</f>
        <v>100283</v>
      </c>
      <c r="C40" s="14">
        <f>C21+C34+C39</f>
        <v>134000</v>
      </c>
      <c r="D40" s="7">
        <f>D21+D34+D39</f>
        <v>10532452.370000001</v>
      </c>
      <c r="E40" s="7">
        <f>E21+E34+E39</f>
        <v>13295160.570000002</v>
      </c>
      <c r="F40" s="7">
        <f>F21+F34+F39</f>
        <v>2762708.2000000011</v>
      </c>
    </row>
    <row r="41" spans="1:6" ht="24" customHeight="1">
      <c r="A41" s="70" t="s">
        <v>42</v>
      </c>
      <c r="B41" s="71"/>
      <c r="C41" s="71"/>
      <c r="D41" s="71"/>
      <c r="E41" s="71"/>
      <c r="F41" s="72"/>
    </row>
    <row r="42" spans="1:6" ht="24" customHeight="1">
      <c r="A42" s="1" t="s">
        <v>30</v>
      </c>
      <c r="B42" s="5">
        <f>3018+'за 1 квартал'!B41</f>
        <v>14936</v>
      </c>
      <c r="C42" s="5">
        <f>2034+'за 1 квартал'!C41</f>
        <v>8995</v>
      </c>
      <c r="D42" s="2">
        <f>2885442.01+'за 1 квартал'!D41</f>
        <v>6587588.0499999998</v>
      </c>
      <c r="E42" s="2">
        <f>1182786.68+'за 1 квартал'!E41</f>
        <v>3797880.7699999996</v>
      </c>
      <c r="F42" s="2">
        <f>E42-D42</f>
        <v>-2789707.2800000003</v>
      </c>
    </row>
    <row r="43" spans="1:6" ht="24" customHeight="1">
      <c r="A43" s="1" t="s">
        <v>32</v>
      </c>
      <c r="B43" s="36">
        <f>610+'за 1 квартал'!B42</f>
        <v>2698</v>
      </c>
      <c r="C43" s="36">
        <f>1592+'за 1 квартал'!C42</f>
        <v>9708</v>
      </c>
      <c r="D43" s="2">
        <f>365940+'за 1 квартал'!D42</f>
        <v>1432875</v>
      </c>
      <c r="E43" s="2">
        <f>568876+'за 1 квартал'!E42</f>
        <v>2295361</v>
      </c>
      <c r="F43" s="2">
        <f t="shared" ref="F43:F48" si="5">E43-D43</f>
        <v>862486</v>
      </c>
    </row>
    <row r="44" spans="1:6" ht="24" customHeight="1">
      <c r="A44" s="1" t="s">
        <v>3</v>
      </c>
      <c r="B44" s="5">
        <f>1505+741</f>
        <v>2246</v>
      </c>
      <c r="C44" s="5">
        <f>2739+491</f>
        <v>3230</v>
      </c>
      <c r="D44" s="2">
        <f>132362+106126</f>
        <v>238488</v>
      </c>
      <c r="E44" s="2">
        <f>252575+82126</f>
        <v>334701</v>
      </c>
      <c r="F44" s="2">
        <f t="shared" si="5"/>
        <v>96213</v>
      </c>
    </row>
    <row r="45" spans="1:6" ht="24" customHeight="1">
      <c r="A45" s="1" t="s">
        <v>4</v>
      </c>
      <c r="B45" s="5">
        <f>3357+1544</f>
        <v>4901</v>
      </c>
      <c r="C45" s="5">
        <f>7710+1271</f>
        <v>8981</v>
      </c>
      <c r="D45" s="2">
        <f>399650+177000</f>
        <v>576650</v>
      </c>
      <c r="E45" s="2">
        <f>663110+212200</f>
        <v>875310</v>
      </c>
      <c r="F45" s="2">
        <f t="shared" si="5"/>
        <v>298660</v>
      </c>
    </row>
    <row r="46" spans="1:6" ht="24" customHeight="1">
      <c r="A46" s="1" t="s">
        <v>31</v>
      </c>
      <c r="B46" s="5">
        <f>10+2</f>
        <v>12</v>
      </c>
      <c r="C46" s="5">
        <f>6+2</f>
        <v>8</v>
      </c>
      <c r="D46" s="2">
        <f>46000+0</f>
        <v>46000</v>
      </c>
      <c r="E46" s="2">
        <f>16500+25000</f>
        <v>41500</v>
      </c>
      <c r="F46" s="2">
        <f t="shared" si="5"/>
        <v>-4500</v>
      </c>
    </row>
    <row r="47" spans="1:6" ht="24" customHeight="1">
      <c r="A47" s="1" t="s">
        <v>2</v>
      </c>
      <c r="B47" s="36">
        <f>751+146</f>
        <v>897</v>
      </c>
      <c r="C47" s="36">
        <f>844+375</f>
        <v>1219</v>
      </c>
      <c r="D47" s="2">
        <f>384020+143480</f>
        <v>527500</v>
      </c>
      <c r="E47" s="2">
        <f>683330+275759.14</f>
        <v>959089.14</v>
      </c>
      <c r="F47" s="2">
        <f t="shared" si="5"/>
        <v>431589.14</v>
      </c>
    </row>
    <row r="48" spans="1:6" ht="24" customHeight="1">
      <c r="A48" s="1" t="s">
        <v>5</v>
      </c>
      <c r="B48" s="5">
        <f>11377+3800</f>
        <v>15177</v>
      </c>
      <c r="C48" s="5">
        <f>7710+2201</f>
        <v>9911</v>
      </c>
      <c r="D48" s="2">
        <f>2370050+713400</f>
        <v>3083450</v>
      </c>
      <c r="E48" s="2">
        <f>2440935+804785</f>
        <v>3245720</v>
      </c>
      <c r="F48" s="2">
        <f t="shared" si="5"/>
        <v>162270</v>
      </c>
    </row>
    <row r="49" spans="1:7" ht="32.450000000000003" customHeight="1">
      <c r="A49" s="6" t="s">
        <v>43</v>
      </c>
      <c r="B49" s="8">
        <f>SUM(B42:B48)</f>
        <v>40867</v>
      </c>
      <c r="C49" s="8">
        <f>SUM(C42:C48)</f>
        <v>42052</v>
      </c>
      <c r="D49" s="7">
        <f>SUM(D42:D48)</f>
        <v>12492551.050000001</v>
      </c>
      <c r="E49" s="7">
        <f>SUM(E42:E48)</f>
        <v>11549561.91</v>
      </c>
      <c r="F49" s="7">
        <f>SUM(F42:F48)</f>
        <v>-942989.14000000013</v>
      </c>
    </row>
    <row r="50" spans="1:7" ht="42.6" customHeight="1">
      <c r="A50" s="4" t="s">
        <v>36</v>
      </c>
      <c r="B50" s="8">
        <f>B40+B49</f>
        <v>141150</v>
      </c>
      <c r="C50" s="8">
        <f>C40+C49</f>
        <v>176052</v>
      </c>
      <c r="D50" s="7">
        <f>D40+D49</f>
        <v>23025003.420000002</v>
      </c>
      <c r="E50" s="7">
        <f t="shared" ref="E50:F50" si="6">E40+E49</f>
        <v>24844722.480000004</v>
      </c>
      <c r="F50" s="7">
        <f t="shared" si="6"/>
        <v>1819719.060000001</v>
      </c>
    </row>
    <row r="51" spans="1:7" ht="22.9" customHeight="1">
      <c r="A51" s="9"/>
      <c r="B51" s="10"/>
      <c r="C51" s="10"/>
      <c r="D51" s="11"/>
      <c r="E51" s="12"/>
      <c r="F51" s="11"/>
    </row>
    <row r="52" spans="1:7" s="15" customFormat="1" ht="28.5" customHeight="1">
      <c r="A52" s="16"/>
      <c r="B52" s="13"/>
      <c r="C52" s="13"/>
      <c r="D52" s="13"/>
      <c r="E52" s="17"/>
      <c r="F52" s="13"/>
    </row>
    <row r="53" spans="1:7" ht="60.75" customHeight="1">
      <c r="A53" s="19"/>
      <c r="E53" s="17"/>
      <c r="G53" s="18"/>
    </row>
    <row r="54" spans="1:7">
      <c r="A54" s="69"/>
      <c r="B54" s="69"/>
      <c r="C54" s="69"/>
      <c r="D54" s="69"/>
      <c r="E54" s="69"/>
      <c r="F54" s="69"/>
    </row>
    <row r="55" spans="1:7" hidden="1"/>
  </sheetData>
  <mergeCells count="12">
    <mergeCell ref="A11:F11"/>
    <mergeCell ref="A41:F41"/>
    <mergeCell ref="A54:F54"/>
    <mergeCell ref="A1:F1"/>
    <mergeCell ref="A6:A8"/>
    <mergeCell ref="B6:C7"/>
    <mergeCell ref="D6:E7"/>
    <mergeCell ref="F6:F8"/>
    <mergeCell ref="A10:F10"/>
    <mergeCell ref="A22:F22"/>
    <mergeCell ref="A35:F35"/>
    <mergeCell ref="A4:F5"/>
  </mergeCells>
  <pageMargins left="0.78740157480314965" right="0" top="0.34" bottom="0.39370078740157483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20</vt:i4>
      </vt:variant>
    </vt:vector>
  </HeadingPairs>
  <TitlesOfParts>
    <vt:vector size="31" baseType="lpstr">
      <vt:lpstr>на 01.12.2024</vt:lpstr>
      <vt:lpstr>на 01.11.2024 </vt:lpstr>
      <vt:lpstr>на 01.10.2024</vt:lpstr>
      <vt:lpstr>на 01.09.2024  (замена)</vt:lpstr>
      <vt:lpstr>на 01.09.2024 </vt:lpstr>
      <vt:lpstr>на 01.08.2024</vt:lpstr>
      <vt:lpstr>на 01.07.2024</vt:lpstr>
      <vt:lpstr>на 01.06.2024</vt:lpstr>
      <vt:lpstr>на 01.05.2024</vt:lpstr>
      <vt:lpstr>за 1 квартал</vt:lpstr>
      <vt:lpstr>май 2024</vt:lpstr>
      <vt:lpstr>'май 2024'!Заголовки_для_печати</vt:lpstr>
      <vt:lpstr>'на 01.05.2024'!Заголовки_для_печати</vt:lpstr>
      <vt:lpstr>'на 01.06.2024'!Заголовки_для_печати</vt:lpstr>
      <vt:lpstr>'на 01.07.2024'!Заголовки_для_печати</vt:lpstr>
      <vt:lpstr>'на 01.08.2024'!Заголовки_для_печати</vt:lpstr>
      <vt:lpstr>'на 01.09.2024 '!Заголовки_для_печати</vt:lpstr>
      <vt:lpstr>'на 01.09.2024  (замена)'!Заголовки_для_печати</vt:lpstr>
      <vt:lpstr>'на 01.10.2024'!Заголовки_для_печати</vt:lpstr>
      <vt:lpstr>'на 01.11.2024 '!Заголовки_для_печати</vt:lpstr>
      <vt:lpstr>'на 01.12.2024'!Заголовки_для_печати</vt:lpstr>
      <vt:lpstr>'май 2024'!Область_печати</vt:lpstr>
      <vt:lpstr>'на 01.05.2024'!Область_печати</vt:lpstr>
      <vt:lpstr>'на 01.06.2024'!Область_печати</vt:lpstr>
      <vt:lpstr>'на 01.07.2024'!Область_печати</vt:lpstr>
      <vt:lpstr>'на 01.08.2024'!Область_печати</vt:lpstr>
      <vt:lpstr>'на 01.09.2024 '!Область_печати</vt:lpstr>
      <vt:lpstr>'на 01.09.2024  (замена)'!Область_печати</vt:lpstr>
      <vt:lpstr>'на 01.10.2024'!Область_печати</vt:lpstr>
      <vt:lpstr>'на 01.11.2024 '!Область_печати</vt:lpstr>
      <vt:lpstr>'на 01.12.2024'!Область_печати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2024-12-10T05:26:24Z</dcterms:modified>
</cp:coreProperties>
</file>